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smael.rodriguez\Downloads\"/>
    </mc:Choice>
  </mc:AlternateContent>
  <xr:revisionPtr revIDLastSave="0" documentId="8_{D51EFD74-2D5B-4BCB-AE2C-A8FFD0E98FE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EPRECIACIONES ANUALES CALCULO " sheetId="1" r:id="rId1"/>
    <sheet name="INVENTARIO FISICO" sheetId="2" r:id="rId2"/>
  </sheets>
  <externalReferences>
    <externalReference r:id="rId3"/>
  </externalReferences>
  <definedNames>
    <definedName name="_xlnm._FilterDatabase" localSheetId="0" hidden="1">'DEPRECIACIONES ANUALES CALCULO '!$A$5:$BF$122</definedName>
    <definedName name="_xlnm._FilterDatabase" localSheetId="1" hidden="1">'INVENTARIO FISICO'!$A$5:$C$111</definedName>
    <definedName name="_xlnm.Print_Area" localSheetId="0">'DEPRECIACIONES ANUALES CALCULO '!$A$2:$AL$119</definedName>
    <definedName name="_xlnm.Print_Area" localSheetId="1">'INVENTARIO FISICO'!$A$2:$C$124</definedName>
    <definedName name="_xlnm.Print_Titles" localSheetId="0">'DEPRECIACIONES ANUALES CALCULO '!$1:$5</definedName>
    <definedName name="_xlnm.Print_Titles" localSheetId="1">'INVENTARIO FISICO'!$1:$5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9" i="2" l="1"/>
  <c r="AV2" i="1"/>
  <c r="AV3" i="1"/>
  <c r="P6" i="1"/>
  <c r="X6" i="1"/>
  <c r="Z6" i="1" s="1"/>
  <c r="AA6" i="1"/>
  <c r="AB6" i="1"/>
  <c r="AC6" i="1"/>
  <c r="AD6" i="1"/>
  <c r="AQ6" i="1"/>
  <c r="P7" i="1"/>
  <c r="X7" i="1"/>
  <c r="Z7" i="1" s="1"/>
  <c r="AA7" i="1"/>
  <c r="AB7" i="1"/>
  <c r="AC7" i="1"/>
  <c r="AQ7" i="1"/>
  <c r="AW7" i="1"/>
  <c r="P8" i="1"/>
  <c r="X8" i="1"/>
  <c r="Z8" i="1"/>
  <c r="AA8" i="1"/>
  <c r="AB8" i="1"/>
  <c r="AC8" i="1"/>
  <c r="AQ8" i="1"/>
  <c r="P9" i="1"/>
  <c r="X9" i="1"/>
  <c r="Z9" i="1"/>
  <c r="AA9" i="1"/>
  <c r="AB9" i="1"/>
  <c r="AC9" i="1"/>
  <c r="AQ9" i="1"/>
  <c r="P10" i="1"/>
  <c r="X10" i="1"/>
  <c r="Z10" i="1"/>
  <c r="AA10" i="1"/>
  <c r="AB10" i="1" s="1"/>
  <c r="AC10" i="1"/>
  <c r="AQ10" i="1"/>
  <c r="P11" i="1"/>
  <c r="X11" i="1"/>
  <c r="Z11" i="1"/>
  <c r="AA11" i="1"/>
  <c r="AB11" i="1" s="1"/>
  <c r="AC11" i="1"/>
  <c r="AQ11" i="1"/>
  <c r="P12" i="1"/>
  <c r="X12" i="1"/>
  <c r="Z12" i="1" s="1"/>
  <c r="AA12" i="1"/>
  <c r="AB12" i="1" s="1"/>
  <c r="AC12" i="1"/>
  <c r="AQ12" i="1"/>
  <c r="P13" i="1"/>
  <c r="X13" i="1"/>
  <c r="Z13" i="1" s="1"/>
  <c r="AA13" i="1"/>
  <c r="AB13" i="1" s="1"/>
  <c r="AC13" i="1"/>
  <c r="AQ13" i="1"/>
  <c r="P14" i="1"/>
  <c r="X14" i="1"/>
  <c r="Z14" i="1" s="1"/>
  <c r="AA14" i="1"/>
  <c r="AB14" i="1"/>
  <c r="AC14" i="1"/>
  <c r="AD14" i="1"/>
  <c r="AE14" i="1" s="1"/>
  <c r="AQ14" i="1"/>
  <c r="AW14" i="1"/>
  <c r="P15" i="1"/>
  <c r="X15" i="1"/>
  <c r="Z15" i="1" s="1"/>
  <c r="AA15" i="1"/>
  <c r="AB15" i="1"/>
  <c r="AC15" i="1"/>
  <c r="AQ15" i="1"/>
  <c r="AW15" i="1"/>
  <c r="X16" i="1"/>
  <c r="X17" i="1"/>
  <c r="X18" i="1"/>
  <c r="U19" i="1"/>
  <c r="X19" i="1"/>
  <c r="AJ19" i="1"/>
  <c r="AM19" i="1"/>
  <c r="AO19" i="1"/>
  <c r="U20" i="1"/>
  <c r="AK20" i="1" s="1"/>
  <c r="X20" i="1"/>
  <c r="AJ20" i="1"/>
  <c r="AL20" i="1"/>
  <c r="AM20" i="1"/>
  <c r="AN20" i="1"/>
  <c r="AO20" i="1"/>
  <c r="U21" i="1"/>
  <c r="AM21" i="1" s="1"/>
  <c r="X21" i="1"/>
  <c r="AJ21" i="1"/>
  <c r="AO21" i="1"/>
  <c r="AP21" i="1"/>
  <c r="S22" i="1"/>
  <c r="X22" i="1"/>
  <c r="AJ22" i="1"/>
  <c r="AK22" i="1"/>
  <c r="AL22" i="1"/>
  <c r="AM22" i="1"/>
  <c r="AO22" i="1"/>
  <c r="Q23" i="1"/>
  <c r="X23" i="1"/>
  <c r="AB23" i="1"/>
  <c r="AC23" i="1"/>
  <c r="AD23" i="1" s="1"/>
  <c r="AE23" i="1" s="1"/>
  <c r="AH23" i="1"/>
  <c r="AJ23" i="1" s="1"/>
  <c r="AK23" i="1" s="1"/>
  <c r="AL23" i="1"/>
  <c r="AC24" i="1"/>
  <c r="AF24" i="1"/>
  <c r="AI24" i="1"/>
  <c r="AT24" i="1"/>
  <c r="X25" i="1"/>
  <c r="AJ25" i="1"/>
  <c r="X26" i="1"/>
  <c r="AJ26" i="1"/>
  <c r="AL26" i="1" s="1"/>
  <c r="AN26" i="1" s="1"/>
  <c r="X27" i="1"/>
  <c r="AJ27" i="1"/>
  <c r="AL27" i="1" s="1"/>
  <c r="AN27" i="1" s="1"/>
  <c r="X28" i="1"/>
  <c r="AJ28" i="1"/>
  <c r="AL28" i="1" s="1"/>
  <c r="AN28" i="1" s="1"/>
  <c r="X29" i="1"/>
  <c r="AJ29" i="1"/>
  <c r="AL29" i="1" s="1"/>
  <c r="AN29" i="1" s="1"/>
  <c r="X30" i="1"/>
  <c r="AJ30" i="1"/>
  <c r="AL30" i="1" s="1"/>
  <c r="AN30" i="1" s="1"/>
  <c r="X31" i="1"/>
  <c r="AJ31" i="1"/>
  <c r="AL31" i="1" s="1"/>
  <c r="AN31" i="1" s="1"/>
  <c r="X32" i="1"/>
  <c r="AJ32" i="1"/>
  <c r="AL32" i="1" s="1"/>
  <c r="AN32" i="1" s="1"/>
  <c r="X33" i="1"/>
  <c r="AJ33" i="1"/>
  <c r="AL33" i="1" s="1"/>
  <c r="AN33" i="1" s="1"/>
  <c r="P34" i="1"/>
  <c r="X34" i="1"/>
  <c r="Z34" i="1"/>
  <c r="AA34" i="1"/>
  <c r="AB34" i="1" s="1"/>
  <c r="AC34" i="1" s="1"/>
  <c r="AJ34" i="1"/>
  <c r="AL34" i="1" s="1"/>
  <c r="AN34" i="1" s="1"/>
  <c r="AW34" i="1"/>
  <c r="P35" i="1"/>
  <c r="X35" i="1"/>
  <c r="Z35" i="1" s="1"/>
  <c r="AA35" i="1"/>
  <c r="AJ35" i="1"/>
  <c r="AL35" i="1"/>
  <c r="AN35" i="1" s="1"/>
  <c r="AW35" i="1"/>
  <c r="P36" i="1"/>
  <c r="X36" i="1"/>
  <c r="Z36" i="1" s="1"/>
  <c r="AA36" i="1"/>
  <c r="AJ36" i="1"/>
  <c r="AL36" i="1"/>
  <c r="AN36" i="1" s="1"/>
  <c r="AW36" i="1"/>
  <c r="P37" i="1"/>
  <c r="X37" i="1"/>
  <c r="Z37" i="1"/>
  <c r="AA37" i="1"/>
  <c r="AJ37" i="1"/>
  <c r="AL37" i="1" s="1"/>
  <c r="AN37" i="1" s="1"/>
  <c r="AW37" i="1"/>
  <c r="P38" i="1"/>
  <c r="X38" i="1"/>
  <c r="Z38" i="1" s="1"/>
  <c r="AA38" i="1"/>
  <c r="AJ38" i="1"/>
  <c r="AL38" i="1"/>
  <c r="AN38" i="1" s="1"/>
  <c r="AW38" i="1"/>
  <c r="P39" i="1"/>
  <c r="X39" i="1"/>
  <c r="Z39" i="1"/>
  <c r="AA39" i="1"/>
  <c r="AJ39" i="1"/>
  <c r="AL39" i="1" s="1"/>
  <c r="AN39" i="1" s="1"/>
  <c r="AW39" i="1"/>
  <c r="P40" i="1"/>
  <c r="X40" i="1"/>
  <c r="Z40" i="1" s="1"/>
  <c r="AA40" i="1"/>
  <c r="AJ40" i="1"/>
  <c r="AL40" i="1" s="1"/>
  <c r="AN40" i="1" s="1"/>
  <c r="AW40" i="1"/>
  <c r="P41" i="1"/>
  <c r="X41" i="1"/>
  <c r="Z41" i="1"/>
  <c r="AA41" i="1"/>
  <c r="AJ41" i="1"/>
  <c r="AL41" i="1" s="1"/>
  <c r="AN41" i="1" s="1"/>
  <c r="AW41" i="1"/>
  <c r="P42" i="1"/>
  <c r="X42" i="1"/>
  <c r="Z42" i="1"/>
  <c r="AA42" i="1"/>
  <c r="AJ42" i="1"/>
  <c r="AL42" i="1" s="1"/>
  <c r="AN42" i="1" s="1"/>
  <c r="AW42" i="1"/>
  <c r="P43" i="1"/>
  <c r="X43" i="1"/>
  <c r="AJ43" i="1"/>
  <c r="AL43" i="1"/>
  <c r="AN43" i="1"/>
  <c r="T44" i="1"/>
  <c r="X44" i="1"/>
  <c r="AC44" i="1"/>
  <c r="AD44" i="1" s="1"/>
  <c r="AE44" i="1" s="1"/>
  <c r="AG44" i="1"/>
  <c r="AI44" i="1"/>
  <c r="AK44" i="1"/>
  <c r="AM44" i="1"/>
  <c r="AO44" i="1"/>
  <c r="X45" i="1"/>
  <c r="AO45" i="1"/>
  <c r="X46" i="1"/>
  <c r="AO46" i="1"/>
  <c r="X47" i="1"/>
  <c r="AO47" i="1"/>
  <c r="X48" i="1"/>
  <c r="AO48" i="1"/>
  <c r="R49" i="1"/>
  <c r="X49" i="1"/>
  <c r="AC49" i="1"/>
  <c r="AD49" i="1"/>
  <c r="AE49" i="1" s="1"/>
  <c r="AG49" i="1"/>
  <c r="AI49" i="1"/>
  <c r="AK49" i="1"/>
  <c r="AM49" i="1"/>
  <c r="AP49" i="1" s="1"/>
  <c r="AS49" i="1" s="1"/>
  <c r="AO49" i="1"/>
  <c r="R50" i="1"/>
  <c r="X50" i="1"/>
  <c r="AC50" i="1"/>
  <c r="AD50" i="1" s="1"/>
  <c r="AE50" i="1" s="1"/>
  <c r="AG50" i="1"/>
  <c r="AI50" i="1"/>
  <c r="AK50" i="1"/>
  <c r="AM50" i="1"/>
  <c r="AP50" i="1" s="1"/>
  <c r="AO50" i="1"/>
  <c r="X51" i="1"/>
  <c r="AO51" i="1"/>
  <c r="X52" i="1"/>
  <c r="AO52" i="1"/>
  <c r="X53" i="1"/>
  <c r="AO53" i="1"/>
  <c r="S54" i="1"/>
  <c r="X54" i="1"/>
  <c r="AG54" i="1"/>
  <c r="AH54" i="1"/>
  <c r="AI54" i="1"/>
  <c r="AK54" i="1"/>
  <c r="AM54" i="1"/>
  <c r="AO54" i="1"/>
  <c r="AP54" i="1"/>
  <c r="AS54" i="1"/>
  <c r="S55" i="1"/>
  <c r="X55" i="1"/>
  <c r="AG55" i="1"/>
  <c r="AH55" i="1"/>
  <c r="AI55" i="1" s="1"/>
  <c r="AK55" i="1"/>
  <c r="AM55" i="1"/>
  <c r="AO55" i="1"/>
  <c r="AP55" i="1"/>
  <c r="X56" i="1"/>
  <c r="AO56" i="1"/>
  <c r="X57" i="1"/>
  <c r="AO57" i="1"/>
  <c r="X58" i="1"/>
  <c r="AO58" i="1"/>
  <c r="T59" i="1"/>
  <c r="X59" i="1"/>
  <c r="AI59" i="1"/>
  <c r="AJ59" i="1"/>
  <c r="AK59" i="1"/>
  <c r="AL59" i="1"/>
  <c r="AM59" i="1"/>
  <c r="AP59" i="1" s="1"/>
  <c r="AS59" i="1" s="1"/>
  <c r="AN59" i="1"/>
  <c r="AO59" i="1"/>
  <c r="AQ59" i="1"/>
  <c r="X60" i="1"/>
  <c r="AO60" i="1"/>
  <c r="X61" i="1"/>
  <c r="AO61" i="1"/>
  <c r="T62" i="1"/>
  <c r="X62" i="1"/>
  <c r="AI62" i="1"/>
  <c r="AJ62" i="1"/>
  <c r="AL62" i="1" s="1"/>
  <c r="AK62" i="1"/>
  <c r="AM62" i="1"/>
  <c r="AP62" i="1" s="1"/>
  <c r="AS62" i="1" s="1"/>
  <c r="AO62" i="1"/>
  <c r="X63" i="1"/>
  <c r="AO63" i="1"/>
  <c r="X64" i="1"/>
  <c r="AO64" i="1"/>
  <c r="X65" i="1"/>
  <c r="AO65" i="1"/>
  <c r="T66" i="1"/>
  <c r="U66" i="1"/>
  <c r="AK66" i="1" s="1"/>
  <c r="X66" i="1"/>
  <c r="AI66" i="1"/>
  <c r="AJ66" i="1" s="1"/>
  <c r="AM66" i="1"/>
  <c r="AP66" i="1" s="1"/>
  <c r="AO66" i="1"/>
  <c r="T67" i="1"/>
  <c r="X67" i="1"/>
  <c r="AI67" i="1"/>
  <c r="AJ67" i="1" s="1"/>
  <c r="AK67" i="1"/>
  <c r="AM67" i="1"/>
  <c r="AP67" i="1" s="1"/>
  <c r="AO67" i="1"/>
  <c r="X68" i="1"/>
  <c r="AO68" i="1"/>
  <c r="T69" i="1"/>
  <c r="X69" i="1"/>
  <c r="AM69" i="1"/>
  <c r="AP69" i="1" s="1"/>
  <c r="AN69" i="1"/>
  <c r="AO69" i="1"/>
  <c r="AQ69" i="1"/>
  <c r="T70" i="1"/>
  <c r="X70" i="1"/>
  <c r="AM70" i="1"/>
  <c r="AO70" i="1"/>
  <c r="T71" i="1"/>
  <c r="X71" i="1"/>
  <c r="AM71" i="1"/>
  <c r="AP71" i="1" s="1"/>
  <c r="AN71" i="1"/>
  <c r="AO71" i="1"/>
  <c r="AQ71" i="1"/>
  <c r="T72" i="1"/>
  <c r="X72" i="1"/>
  <c r="AM72" i="1"/>
  <c r="AP72" i="1" s="1"/>
  <c r="AO72" i="1"/>
  <c r="T73" i="1"/>
  <c r="X73" i="1"/>
  <c r="AM73" i="1"/>
  <c r="AP73" i="1" s="1"/>
  <c r="AN73" i="1"/>
  <c r="AO73" i="1"/>
  <c r="AQ73" i="1"/>
  <c r="AR73" i="1" s="1"/>
  <c r="T74" i="1"/>
  <c r="X74" i="1"/>
  <c r="AM74" i="1"/>
  <c r="AO74" i="1"/>
  <c r="T75" i="1"/>
  <c r="X75" i="1"/>
  <c r="AM75" i="1"/>
  <c r="AP75" i="1" s="1"/>
  <c r="AN75" i="1"/>
  <c r="AO75" i="1"/>
  <c r="T76" i="1"/>
  <c r="X76" i="1"/>
  <c r="AM76" i="1"/>
  <c r="AO76" i="1"/>
  <c r="T77" i="1"/>
  <c r="X77" i="1"/>
  <c r="AM77" i="1"/>
  <c r="AP77" i="1" s="1"/>
  <c r="AN77" i="1"/>
  <c r="AO77" i="1"/>
  <c r="AQ77" i="1"/>
  <c r="T78" i="1"/>
  <c r="X78" i="1"/>
  <c r="AM78" i="1"/>
  <c r="AO78" i="1"/>
  <c r="T79" i="1"/>
  <c r="X79" i="1"/>
  <c r="AM79" i="1"/>
  <c r="AP79" i="1" s="1"/>
  <c r="AN79" i="1"/>
  <c r="AQ79" i="1" s="1"/>
  <c r="AO79" i="1"/>
  <c r="T80" i="1"/>
  <c r="X80" i="1"/>
  <c r="AM80" i="1"/>
  <c r="AP80" i="1" s="1"/>
  <c r="AO80" i="1"/>
  <c r="T81" i="1"/>
  <c r="X81" i="1"/>
  <c r="AM81" i="1"/>
  <c r="AP81" i="1" s="1"/>
  <c r="AN81" i="1"/>
  <c r="AO81" i="1"/>
  <c r="AQ81" i="1"/>
  <c r="AR81" i="1" s="1"/>
  <c r="T82" i="1"/>
  <c r="X82" i="1"/>
  <c r="AM82" i="1"/>
  <c r="AO82" i="1"/>
  <c r="Q83" i="1"/>
  <c r="Q114" i="1" s="1" a="1"/>
  <c r="Q114" i="1" s="1"/>
  <c r="AF83" i="1"/>
  <c r="X84" i="1"/>
  <c r="AB84" i="1"/>
  <c r="AC84" i="1"/>
  <c r="P85" i="1"/>
  <c r="Q85" i="1"/>
  <c r="R85" i="1"/>
  <c r="Z85" i="1"/>
  <c r="AA85" i="1"/>
  <c r="AB85" i="1"/>
  <c r="AF85" i="1"/>
  <c r="AG85" i="1"/>
  <c r="AK85" i="1"/>
  <c r="AM85" i="1"/>
  <c r="AO85" i="1"/>
  <c r="AS85" i="1"/>
  <c r="P86" i="1"/>
  <c r="X86" i="1"/>
  <c r="Z86" i="1"/>
  <c r="AA86" i="1"/>
  <c r="AA110" i="1" s="1"/>
  <c r="AB86" i="1"/>
  <c r="AC86" i="1"/>
  <c r="AD86" i="1"/>
  <c r="AW86" i="1"/>
  <c r="P87" i="1"/>
  <c r="X87" i="1"/>
  <c r="Z87" i="1" s="1"/>
  <c r="AD87" i="1" s="1"/>
  <c r="AE87" i="1" s="1"/>
  <c r="AA87" i="1"/>
  <c r="AB87" i="1" s="1"/>
  <c r="AC87" i="1"/>
  <c r="AW87" i="1"/>
  <c r="X88" i="1"/>
  <c r="R89" i="1"/>
  <c r="X89" i="1"/>
  <c r="AC89" i="1"/>
  <c r="AD89" i="1"/>
  <c r="AE89" i="1" s="1"/>
  <c r="AQ89" i="1"/>
  <c r="X90" i="1"/>
  <c r="X91" i="1"/>
  <c r="X92" i="1"/>
  <c r="X93" i="1"/>
  <c r="X94" i="1"/>
  <c r="X95" i="1"/>
  <c r="X96" i="1"/>
  <c r="X97" i="1"/>
  <c r="X98" i="1"/>
  <c r="R99" i="1"/>
  <c r="X99" i="1"/>
  <c r="AC99" i="1"/>
  <c r="AD99" i="1" s="1"/>
  <c r="AE99" i="1" s="1"/>
  <c r="R100" i="1"/>
  <c r="X100" i="1"/>
  <c r="AC100" i="1"/>
  <c r="AD100" i="1" s="1"/>
  <c r="AE100" i="1" s="1"/>
  <c r="R101" i="1"/>
  <c r="X101" i="1"/>
  <c r="AC101" i="1"/>
  <c r="AD101" i="1" s="1"/>
  <c r="AE101" i="1" s="1"/>
  <c r="R102" i="1"/>
  <c r="X102" i="1"/>
  <c r="AC102" i="1"/>
  <c r="AD102" i="1" s="1"/>
  <c r="AE102" i="1" s="1"/>
  <c r="R103" i="1"/>
  <c r="X103" i="1"/>
  <c r="AC103" i="1"/>
  <c r="AD103" i="1" s="1"/>
  <c r="AE103" i="1" s="1"/>
  <c r="R104" i="1"/>
  <c r="X104" i="1"/>
  <c r="AC104" i="1"/>
  <c r="AD104" i="1"/>
  <c r="AE104" i="1" s="1"/>
  <c r="R105" i="1"/>
  <c r="X105" i="1"/>
  <c r="AC105" i="1"/>
  <c r="AD105" i="1" s="1"/>
  <c r="AE105" i="1" s="1"/>
  <c r="AG105" i="1" s="1"/>
  <c r="R106" i="1"/>
  <c r="X106" i="1"/>
  <c r="AC106" i="1"/>
  <c r="AD106" i="1"/>
  <c r="AE106" i="1" s="1"/>
  <c r="R107" i="1"/>
  <c r="X107" i="1"/>
  <c r="AC107" i="1"/>
  <c r="AD107" i="1" s="1"/>
  <c r="AE107" i="1" s="1"/>
  <c r="AG107" i="1" s="1"/>
  <c r="R108" i="1"/>
  <c r="X108" i="1"/>
  <c r="AC108" i="1"/>
  <c r="AD108" i="1" s="1"/>
  <c r="AE108" i="1" s="1"/>
  <c r="R109" i="1"/>
  <c r="X109" i="1"/>
  <c r="AC109" i="1"/>
  <c r="AD109" i="1"/>
  <c r="AE109" i="1" s="1"/>
  <c r="AG109" i="1" s="1"/>
  <c r="AP109" i="1"/>
  <c r="AQ109" i="1" s="1"/>
  <c r="AR109" i="1" s="1"/>
  <c r="AF110" i="1"/>
  <c r="AI110" i="1"/>
  <c r="AK110" i="1"/>
  <c r="AM110" i="1"/>
  <c r="AO110" i="1"/>
  <c r="AS110" i="1"/>
  <c r="T111" i="1"/>
  <c r="X111" i="1"/>
  <c r="AI111" i="1" s="1"/>
  <c r="AJ111" i="1"/>
  <c r="AK111" i="1"/>
  <c r="AL111" i="1"/>
  <c r="AM111" i="1"/>
  <c r="AN111" i="1"/>
  <c r="AO111" i="1"/>
  <c r="T112" i="1"/>
  <c r="X112" i="1"/>
  <c r="AI112" i="1"/>
  <c r="AJ112" i="1"/>
  <c r="AK112" i="1"/>
  <c r="AM112" i="1"/>
  <c r="AO112" i="1"/>
  <c r="T113" i="1"/>
  <c r="X113" i="1"/>
  <c r="AI113" i="1" s="1"/>
  <c r="AJ113" i="1" s="1"/>
  <c r="AK113" i="1"/>
  <c r="AM113" i="1"/>
  <c r="AO113" i="1"/>
  <c r="S114" i="1" a="1"/>
  <c r="S114" i="1" s="1"/>
  <c r="U114" i="1" a="1"/>
  <c r="U114" i="1" s="1"/>
  <c r="U119" i="1" s="1"/>
  <c r="U123" i="1" s="1"/>
  <c r="V114" i="1" a="1"/>
  <c r="V114" i="1" s="1"/>
  <c r="AG115" i="1"/>
  <c r="AJ124" i="1"/>
  <c r="AJ126" i="1" s="1"/>
  <c r="U131" i="1"/>
  <c r="N130" i="1"/>
  <c r="N129" i="1"/>
  <c r="N125" i="1"/>
  <c r="N98" i="1"/>
  <c r="N97" i="1"/>
  <c r="N96" i="1"/>
  <c r="N95" i="1"/>
  <c r="R95" i="1" s="1"/>
  <c r="N94" i="1"/>
  <c r="N93" i="1"/>
  <c r="N92" i="1"/>
  <c r="N91" i="1"/>
  <c r="N90" i="1"/>
  <c r="AC90" i="1" s="1"/>
  <c r="AD90" i="1" s="1"/>
  <c r="N88" i="1"/>
  <c r="Z88" i="1" s="1"/>
  <c r="C88" i="1"/>
  <c r="C87" i="1"/>
  <c r="C86" i="1"/>
  <c r="N85" i="1"/>
  <c r="N68" i="1" a="1"/>
  <c r="N68" i="1" s="1"/>
  <c r="N65" i="1"/>
  <c r="N64" i="1"/>
  <c r="AK64" i="1" s="1"/>
  <c r="N63" i="1"/>
  <c r="N61" i="1"/>
  <c r="N60" i="1"/>
  <c r="N58" i="1"/>
  <c r="AG58" i="1" s="1"/>
  <c r="N57" i="1"/>
  <c r="N56" i="1"/>
  <c r="N53" i="1"/>
  <c r="N52" i="1"/>
  <c r="AG52" i="1" s="1"/>
  <c r="N51" i="1"/>
  <c r="N48" i="1"/>
  <c r="N47" i="1"/>
  <c r="N46" i="1"/>
  <c r="N43" i="1"/>
  <c r="N33" i="1"/>
  <c r="N32" i="1"/>
  <c r="Z32" i="1" s="1"/>
  <c r="N31" i="1"/>
  <c r="N30" i="1"/>
  <c r="N29" i="1"/>
  <c r="N28" i="1"/>
  <c r="Z28" i="1" s="1"/>
  <c r="N27" i="1"/>
  <c r="N26" i="1"/>
  <c r="Z26" i="1" s="1"/>
  <c r="N25" i="1"/>
  <c r="N21" i="1"/>
  <c r="N18" i="1"/>
  <c r="N17" i="1"/>
  <c r="N16" i="1"/>
  <c r="C15" i="1"/>
  <c r="C14" i="1"/>
  <c r="C13" i="1"/>
  <c r="C12" i="1"/>
  <c r="C11" i="1"/>
  <c r="C10" i="1"/>
  <c r="C9" i="1"/>
  <c r="C8" i="1"/>
  <c r="C7" i="1"/>
  <c r="C6" i="1"/>
  <c r="AW6" i="1" l="1"/>
  <c r="AW8" i="1"/>
  <c r="AW9" i="1"/>
  <c r="AW12" i="1"/>
  <c r="AD15" i="1"/>
  <c r="AE15" i="1" s="1"/>
  <c r="AP19" i="1"/>
  <c r="AH44" i="1"/>
  <c r="AJ44" i="1" s="1"/>
  <c r="AL44" i="1" s="1"/>
  <c r="AN44" i="1" s="1"/>
  <c r="AH49" i="1"/>
  <c r="AJ49" i="1" s="1"/>
  <c r="AL49" i="1" s="1"/>
  <c r="AN49" i="1" s="1"/>
  <c r="AH50" i="1"/>
  <c r="AJ50" i="1" s="1"/>
  <c r="AL50" i="1" s="1"/>
  <c r="AN50" i="1" s="1"/>
  <c r="AO83" i="1"/>
  <c r="AO114" i="1" s="1"/>
  <c r="AL67" i="1"/>
  <c r="AN67" i="1" s="1"/>
  <c r="AQ67" i="1" s="1"/>
  <c r="AR67" i="1" s="1"/>
  <c r="AP111" i="1"/>
  <c r="AR111" i="1" s="1"/>
  <c r="T114" i="1" a="1"/>
  <c r="T114" i="1" s="1"/>
  <c r="AL112" i="1"/>
  <c r="AN112" i="1" s="1"/>
  <c r="AP112" i="1" s="1"/>
  <c r="AR112" i="1" s="1"/>
  <c r="AL113" i="1"/>
  <c r="AN113" i="1" s="1"/>
  <c r="AP113" i="1" s="1"/>
  <c r="AR113" i="1" s="1"/>
  <c r="AC85" i="1"/>
  <c r="AD84" i="1"/>
  <c r="AG100" i="1"/>
  <c r="AH100" i="1"/>
  <c r="AJ100" i="1" s="1"/>
  <c r="AL100" i="1" s="1"/>
  <c r="AN100" i="1" s="1"/>
  <c r="AP100" i="1" s="1"/>
  <c r="AQ100" i="1" s="1"/>
  <c r="R93" i="1"/>
  <c r="AC93" i="1"/>
  <c r="AD93" i="1" s="1"/>
  <c r="AE93" i="1" s="1"/>
  <c r="AC91" i="1"/>
  <c r="AD91" i="1" s="1"/>
  <c r="AE91" i="1" s="1"/>
  <c r="R91" i="1"/>
  <c r="AI63" i="1"/>
  <c r="AM63" i="1"/>
  <c r="AP63" i="1" s="1"/>
  <c r="AS63" i="1" s="1"/>
  <c r="T60" i="1"/>
  <c r="AI60" i="1"/>
  <c r="AJ60" i="1" s="1"/>
  <c r="AM60" i="1"/>
  <c r="AP60" i="1" s="1"/>
  <c r="AG53" i="1"/>
  <c r="AH53" i="1" s="1"/>
  <c r="S53" i="1"/>
  <c r="AK47" i="1"/>
  <c r="AI47" i="1"/>
  <c r="Z43" i="1"/>
  <c r="AA43" i="1"/>
  <c r="N20" i="1"/>
  <c r="AP20" i="1"/>
  <c r="AG103" i="1"/>
  <c r="AH103" i="1"/>
  <c r="AJ103" i="1" s="1"/>
  <c r="AL103" i="1" s="1"/>
  <c r="AN103" i="1" s="1"/>
  <c r="AP103" i="1" s="1"/>
  <c r="AG99" i="1"/>
  <c r="AH99" i="1" s="1"/>
  <c r="AJ99" i="1" s="1"/>
  <c r="AL99" i="1" s="1"/>
  <c r="AN99" i="1" s="1"/>
  <c r="AP99" i="1" s="1"/>
  <c r="AJ61" i="1"/>
  <c r="AG108" i="1"/>
  <c r="AH108" i="1"/>
  <c r="AJ108" i="1" s="1"/>
  <c r="AL108" i="1" s="1"/>
  <c r="AN108" i="1" s="1"/>
  <c r="AP108" i="1" s="1"/>
  <c r="AH102" i="1"/>
  <c r="AJ102" i="1" s="1"/>
  <c r="AL102" i="1" s="1"/>
  <c r="AN102" i="1" s="1"/>
  <c r="AP102" i="1" s="1"/>
  <c r="AG102" i="1"/>
  <c r="AP82" i="1"/>
  <c r="AN82" i="1"/>
  <c r="AP70" i="1"/>
  <c r="AN70" i="1"/>
  <c r="T68" i="1"/>
  <c r="R90" i="1"/>
  <c r="AG87" i="1"/>
  <c r="AH87" i="1"/>
  <c r="AJ87" i="1" s="1"/>
  <c r="AL87" i="1" s="1"/>
  <c r="AN87" i="1" s="1"/>
  <c r="AP87" i="1" s="1"/>
  <c r="AP74" i="1"/>
  <c r="AN74" i="1"/>
  <c r="AR71" i="1"/>
  <c r="AM68" i="1"/>
  <c r="AP68" i="1" s="1"/>
  <c r="AQ68" i="1" s="1"/>
  <c r="AP39" i="1"/>
  <c r="AQ39" i="1" s="1"/>
  <c r="AR39" i="1"/>
  <c r="AP32" i="1"/>
  <c r="AQ32" i="1" s="1"/>
  <c r="AR32" i="1"/>
  <c r="AP29" i="1"/>
  <c r="AQ29" i="1" s="1"/>
  <c r="AR29" i="1"/>
  <c r="AP26" i="1"/>
  <c r="AQ26" i="1" s="1"/>
  <c r="AR26" i="1"/>
  <c r="AP22" i="1"/>
  <c r="AN22" i="1"/>
  <c r="AH107" i="1"/>
  <c r="AJ107" i="1" s="1"/>
  <c r="AL107" i="1" s="1"/>
  <c r="AN107" i="1" s="1"/>
  <c r="AQ107" i="1" s="1"/>
  <c r="AE86" i="1"/>
  <c r="AR77" i="1"/>
  <c r="AN62" i="1"/>
  <c r="AQ62" i="1" s="1"/>
  <c r="AP41" i="1"/>
  <c r="AQ41" i="1" s="1"/>
  <c r="AR41" i="1"/>
  <c r="AP34" i="1"/>
  <c r="AQ34" i="1" s="1"/>
  <c r="AR34" i="1"/>
  <c r="AM23" i="1"/>
  <c r="AM24" i="1" s="1"/>
  <c r="AQ49" i="1"/>
  <c r="AR49" i="1" s="1"/>
  <c r="AA27" i="1"/>
  <c r="AB27" i="1"/>
  <c r="AC27" i="1" s="1"/>
  <c r="AW27" i="1"/>
  <c r="P27" i="1"/>
  <c r="Z27" i="1"/>
  <c r="AH109" i="1"/>
  <c r="AJ109" i="1" s="1"/>
  <c r="AL109" i="1" s="1"/>
  <c r="AN109" i="1" s="1"/>
  <c r="AG106" i="1"/>
  <c r="AH106" i="1" s="1"/>
  <c r="AJ106" i="1" s="1"/>
  <c r="AL106" i="1" s="1"/>
  <c r="AN106" i="1" s="1"/>
  <c r="AP106" i="1" s="1"/>
  <c r="AR100" i="1"/>
  <c r="AQ75" i="1"/>
  <c r="AR75" i="1"/>
  <c r="AS60" i="1"/>
  <c r="AR59" i="1"/>
  <c r="AS55" i="1"/>
  <c r="AP36" i="1"/>
  <c r="AQ36" i="1" s="1"/>
  <c r="AR36" i="1" s="1"/>
  <c r="AL25" i="1"/>
  <c r="AP76" i="1"/>
  <c r="AN76" i="1"/>
  <c r="AA33" i="1"/>
  <c r="AB33" i="1"/>
  <c r="AC33" i="1" s="1"/>
  <c r="AW33" i="1"/>
  <c r="P33" i="1"/>
  <c r="Z33" i="1"/>
  <c r="AC46" i="1"/>
  <c r="AD46" i="1" s="1"/>
  <c r="AE46" i="1" s="1"/>
  <c r="AG46" i="1"/>
  <c r="AI46" i="1"/>
  <c r="AM46" i="1"/>
  <c r="AP46" i="1" s="1"/>
  <c r="R46" i="1"/>
  <c r="S58" i="1"/>
  <c r="AM58" i="1"/>
  <c r="AP58" i="1" s="1"/>
  <c r="AH58" i="1"/>
  <c r="AK58" i="1"/>
  <c r="AC94" i="1"/>
  <c r="AD94" i="1" s="1"/>
  <c r="R94" i="1"/>
  <c r="AE94" i="1"/>
  <c r="AH105" i="1"/>
  <c r="AJ105" i="1" s="1"/>
  <c r="AL105" i="1" s="1"/>
  <c r="AN105" i="1" s="1"/>
  <c r="AP105" i="1" s="1"/>
  <c r="AG89" i="1"/>
  <c r="AH89" i="1"/>
  <c r="AJ89" i="1" s="1"/>
  <c r="AL89" i="1" s="1"/>
  <c r="AP28" i="1"/>
  <c r="AQ28" i="1" s="1"/>
  <c r="AR28" i="1"/>
  <c r="Z110" i="1"/>
  <c r="AR69" i="1"/>
  <c r="AP42" i="1"/>
  <c r="AQ42" i="1" s="1"/>
  <c r="AR42" i="1"/>
  <c r="AP31" i="1"/>
  <c r="AQ31" i="1" s="1"/>
  <c r="AR31" i="1"/>
  <c r="AG18" i="1"/>
  <c r="AH18" i="1" s="1"/>
  <c r="AJ18" i="1" s="1"/>
  <c r="AK18" i="1"/>
  <c r="S18" i="1"/>
  <c r="AP18" i="1"/>
  <c r="AA31" i="1"/>
  <c r="AW31" i="1"/>
  <c r="P31" i="1"/>
  <c r="Z31" i="1"/>
  <c r="AC98" i="1"/>
  <c r="AD98" i="1" s="1"/>
  <c r="AE98" i="1" s="1"/>
  <c r="R98" i="1"/>
  <c r="AA25" i="1"/>
  <c r="AB25" i="1" s="1"/>
  <c r="AW25" i="1"/>
  <c r="P25" i="1"/>
  <c r="Z25" i="1"/>
  <c r="AG56" i="1"/>
  <c r="AH56" i="1" s="1"/>
  <c r="S56" i="1"/>
  <c r="AM56" i="1"/>
  <c r="AP56" i="1" s="1"/>
  <c r="R92" i="1"/>
  <c r="AK16" i="1"/>
  <c r="S16" i="1"/>
  <c r="AG16" i="1"/>
  <c r="AH16" i="1"/>
  <c r="AJ16" i="1" s="1"/>
  <c r="AL16" i="1" s="1"/>
  <c r="AA29" i="1"/>
  <c r="AB29" i="1"/>
  <c r="AC29" i="1" s="1"/>
  <c r="AW29" i="1"/>
  <c r="P29" i="1"/>
  <c r="Z29" i="1"/>
  <c r="R48" i="1"/>
  <c r="AM48" i="1"/>
  <c r="AP48" i="1" s="1"/>
  <c r="AC48" i="1"/>
  <c r="AD48" i="1" s="1"/>
  <c r="AE48" i="1" s="1"/>
  <c r="AM61" i="1"/>
  <c r="AP61" i="1" s="1"/>
  <c r="AI61" i="1"/>
  <c r="AK61" i="1"/>
  <c r="T61" i="1"/>
  <c r="R96" i="1"/>
  <c r="AC96" i="1"/>
  <c r="AD96" i="1" s="1"/>
  <c r="AE96" i="1" s="1"/>
  <c r="AC92" i="1"/>
  <c r="AD92" i="1" s="1"/>
  <c r="AE92" i="1" s="1"/>
  <c r="AP78" i="1"/>
  <c r="AN78" i="1"/>
  <c r="AL66" i="1"/>
  <c r="AN66" i="1" s="1"/>
  <c r="AG17" i="1"/>
  <c r="AK17" i="1"/>
  <c r="AH17" i="1"/>
  <c r="AJ17" i="1" s="1"/>
  <c r="AL17" i="1" s="1"/>
  <c r="AN17" i="1" s="1"/>
  <c r="AP17" i="1"/>
  <c r="AQ17" i="1" s="1"/>
  <c r="S17" i="1"/>
  <c r="AA30" i="1"/>
  <c r="AB30" i="1"/>
  <c r="AC30" i="1" s="1"/>
  <c r="AW30" i="1"/>
  <c r="P30" i="1"/>
  <c r="Z30" i="1"/>
  <c r="AG51" i="1"/>
  <c r="AH51" i="1" s="1"/>
  <c r="S51" i="1"/>
  <c r="AK51" i="1"/>
  <c r="AM51" i="1"/>
  <c r="AP51" i="1" s="1"/>
  <c r="AK63" i="1"/>
  <c r="T63" i="1"/>
  <c r="AJ63" i="1"/>
  <c r="AL63" i="1" s="1"/>
  <c r="P88" i="1"/>
  <c r="AB88" i="1"/>
  <c r="R97" i="1"/>
  <c r="AC97" i="1"/>
  <c r="AD97" i="1" s="1"/>
  <c r="AE97" i="1" s="1"/>
  <c r="AG101" i="1"/>
  <c r="AH101" i="1"/>
  <c r="AJ101" i="1" s="1"/>
  <c r="AL101" i="1" s="1"/>
  <c r="AN101" i="1" s="1"/>
  <c r="AP101" i="1" s="1"/>
  <c r="AK46" i="1"/>
  <c r="AP27" i="1"/>
  <c r="AQ27" i="1" s="1"/>
  <c r="AR27" i="1" s="1"/>
  <c r="AH52" i="1"/>
  <c r="AK52" i="1"/>
  <c r="AM52" i="1"/>
  <c r="AP52" i="1" s="1"/>
  <c r="S52" i="1"/>
  <c r="AR79" i="1"/>
  <c r="AP33" i="1"/>
  <c r="AQ33" i="1" s="1"/>
  <c r="AR33" i="1" s="1"/>
  <c r="AP30" i="1"/>
  <c r="AQ30" i="1" s="1"/>
  <c r="AR30" i="1" s="1"/>
  <c r="AS21" i="1"/>
  <c r="T64" i="1"/>
  <c r="AI64" i="1"/>
  <c r="AJ64" i="1" s="1"/>
  <c r="AL64" i="1" s="1"/>
  <c r="AM64" i="1"/>
  <c r="AP64" i="1" s="1"/>
  <c r="AE90" i="1"/>
  <c r="AG104" i="1"/>
  <c r="AH104" i="1" s="1"/>
  <c r="AJ104" i="1" s="1"/>
  <c r="AL104" i="1" s="1"/>
  <c r="AN104" i="1" s="1"/>
  <c r="AP104" i="1" s="1"/>
  <c r="AK56" i="1"/>
  <c r="AB42" i="1"/>
  <c r="AC42" i="1" s="1"/>
  <c r="AD42" i="1"/>
  <c r="AE42" i="1" s="1"/>
  <c r="AG42" i="1" s="1"/>
  <c r="AB35" i="1"/>
  <c r="AC35" i="1" s="1"/>
  <c r="AD35" i="1"/>
  <c r="AE35" i="1" s="1"/>
  <c r="AG35" i="1" s="1"/>
  <c r="AE6" i="1"/>
  <c r="AA32" i="1"/>
  <c r="AB32" i="1"/>
  <c r="AC32" i="1" s="1"/>
  <c r="AW32" i="1"/>
  <c r="P32" i="1"/>
  <c r="AK53" i="1"/>
  <c r="AI65" i="1"/>
  <c r="AJ65" i="1"/>
  <c r="AM65" i="1"/>
  <c r="AP65" i="1" s="1"/>
  <c r="AN80" i="1"/>
  <c r="AN72" i="1"/>
  <c r="AW13" i="1"/>
  <c r="AD13" i="1"/>
  <c r="AE13" i="1" s="1"/>
  <c r="AD9" i="1"/>
  <c r="AE9" i="1" s="1"/>
  <c r="AJ55" i="1"/>
  <c r="AL55" i="1" s="1"/>
  <c r="AN55" i="1" s="1"/>
  <c r="AP38" i="1"/>
  <c r="AQ38" i="1" s="1"/>
  <c r="AR38" i="1" s="1"/>
  <c r="AP37" i="1"/>
  <c r="AQ37" i="1" s="1"/>
  <c r="AR37" i="1"/>
  <c r="AA26" i="1"/>
  <c r="AW26" i="1"/>
  <c r="P26" i="1"/>
  <c r="AW43" i="1"/>
  <c r="S57" i="1"/>
  <c r="AG57" i="1"/>
  <c r="AH57" i="1" s="1"/>
  <c r="AK57" i="1"/>
  <c r="AC95" i="1"/>
  <c r="AD95" i="1" s="1"/>
  <c r="AE95" i="1" s="1"/>
  <c r="AK65" i="1"/>
  <c r="AP44" i="1"/>
  <c r="AQ44" i="1" s="1"/>
  <c r="AR44" i="1" s="1"/>
  <c r="AP43" i="1"/>
  <c r="AQ43" i="1" s="1"/>
  <c r="AR43" i="1"/>
  <c r="AB40" i="1"/>
  <c r="AC40" i="1" s="1"/>
  <c r="AD40" i="1"/>
  <c r="AE40" i="1" s="1"/>
  <c r="AG40" i="1" s="1"/>
  <c r="AB39" i="1"/>
  <c r="AC39" i="1" s="1"/>
  <c r="AD39" i="1"/>
  <c r="AE39" i="1" s="1"/>
  <c r="AG39" i="1" s="1"/>
  <c r="AB38" i="1"/>
  <c r="AC38" i="1" s="1"/>
  <c r="AD38" i="1"/>
  <c r="AE38" i="1" s="1"/>
  <c r="AG38" i="1" s="1"/>
  <c r="AP35" i="1"/>
  <c r="AQ35" i="1" s="1"/>
  <c r="AR35" i="1"/>
  <c r="AP16" i="1"/>
  <c r="AA28" i="1"/>
  <c r="AB28" i="1" s="1"/>
  <c r="AC28" i="1" s="1"/>
  <c r="AW28" i="1"/>
  <c r="P28" i="1"/>
  <c r="R47" i="1"/>
  <c r="AC47" i="1"/>
  <c r="AD47" i="1" s="1"/>
  <c r="AE47" i="1" s="1"/>
  <c r="AM47" i="1"/>
  <c r="AP47" i="1" s="1"/>
  <c r="AG47" i="1"/>
  <c r="AK60" i="1"/>
  <c r="T65" i="1"/>
  <c r="AM57" i="1"/>
  <c r="AP57" i="1" s="1"/>
  <c r="AJ54" i="1"/>
  <c r="AL54" i="1" s="1"/>
  <c r="AN54" i="1" s="1"/>
  <c r="AM53" i="1"/>
  <c r="AP53" i="1" s="1"/>
  <c r="AS19" i="1"/>
  <c r="AD12" i="1"/>
  <c r="AE12" i="1" s="1"/>
  <c r="AD7" i="1"/>
  <c r="AE7" i="1" s="1"/>
  <c r="Z24" i="1"/>
  <c r="AQ50" i="1"/>
  <c r="AR50" i="1" s="1"/>
  <c r="AS50" i="1"/>
  <c r="AP40" i="1"/>
  <c r="AQ40" i="1" s="1"/>
  <c r="AR40" i="1" s="1"/>
  <c r="AG14" i="1"/>
  <c r="AH14" i="1" s="1"/>
  <c r="AJ14" i="1" s="1"/>
  <c r="AB37" i="1"/>
  <c r="AC37" i="1" s="1"/>
  <c r="AD37" i="1" s="1"/>
  <c r="AE37" i="1" s="1"/>
  <c r="AG37" i="1" s="1"/>
  <c r="AD11" i="1"/>
  <c r="AE11" i="1" s="1"/>
  <c r="AB24" i="1"/>
  <c r="AB36" i="1"/>
  <c r="AC36" i="1" s="1"/>
  <c r="AD36" i="1"/>
  <c r="AE36" i="1" s="1"/>
  <c r="AG36" i="1" s="1"/>
  <c r="AW10" i="1"/>
  <c r="AB41" i="1"/>
  <c r="AC41" i="1" s="1"/>
  <c r="AD41" i="1" s="1"/>
  <c r="AE41" i="1" s="1"/>
  <c r="AG41" i="1" s="1"/>
  <c r="AK21" i="1"/>
  <c r="AL21" i="1"/>
  <c r="AN21" i="1" s="1"/>
  <c r="AQ21" i="1" s="1"/>
  <c r="AK19" i="1"/>
  <c r="AL19" i="1"/>
  <c r="AN19" i="1" s="1"/>
  <c r="AW11" i="1"/>
  <c r="AA24" i="1"/>
  <c r="AD8" i="1"/>
  <c r="AE8" i="1" s="1"/>
  <c r="AD34" i="1"/>
  <c r="AE34" i="1" s="1"/>
  <c r="AG34" i="1" s="1"/>
  <c r="AD10" i="1"/>
  <c r="AE10" i="1" s="1"/>
  <c r="N131" i="1"/>
  <c r="N45" i="1"/>
  <c r="N110" i="1"/>
  <c r="N19" i="1"/>
  <c r="AG15" i="1" l="1"/>
  <c r="AH15" i="1" s="1"/>
  <c r="AJ15" i="1" s="1"/>
  <c r="AD85" i="1"/>
  <c r="AE84" i="1"/>
  <c r="AQ76" i="1"/>
  <c r="AH46" i="1"/>
  <c r="AJ46" i="1" s="1"/>
  <c r="AL46" i="1" s="1"/>
  <c r="AN46" i="1" s="1"/>
  <c r="AL18" i="1"/>
  <c r="AN18" i="1" s="1"/>
  <c r="AN63" i="1"/>
  <c r="AN64" i="1"/>
  <c r="AB43" i="1"/>
  <c r="AC43" i="1" s="1"/>
  <c r="AD43" i="1" s="1"/>
  <c r="AE43" i="1" s="1"/>
  <c r="AG43" i="1" s="1"/>
  <c r="AS20" i="1"/>
  <c r="AQ20" i="1"/>
  <c r="AR20" i="1" s="1"/>
  <c r="N24" i="1"/>
  <c r="AG48" i="1"/>
  <c r="AH48" i="1" s="1"/>
  <c r="AJ48" i="1" s="1"/>
  <c r="AL48" i="1" s="1"/>
  <c r="AN48" i="1" s="1"/>
  <c r="AG92" i="1"/>
  <c r="AH92" i="1"/>
  <c r="AJ92" i="1" s="1"/>
  <c r="AL92" i="1" s="1"/>
  <c r="AN92" i="1" s="1"/>
  <c r="AP92" i="1" s="1"/>
  <c r="AG96" i="1"/>
  <c r="AH96" i="1"/>
  <c r="AJ96" i="1" s="1"/>
  <c r="AL96" i="1" s="1"/>
  <c r="AN96" i="1" s="1"/>
  <c r="AP96" i="1" s="1"/>
  <c r="AC25" i="1"/>
  <c r="AI56" i="1"/>
  <c r="AJ56" i="1" s="1"/>
  <c r="AL56" i="1" s="1"/>
  <c r="AN56" i="1" s="1"/>
  <c r="AQ104" i="1"/>
  <c r="AR104" i="1" s="1"/>
  <c r="AQ106" i="1"/>
  <c r="AR106" i="1" s="1"/>
  <c r="AQ99" i="1"/>
  <c r="AR99" i="1"/>
  <c r="AI51" i="1"/>
  <c r="AJ51" i="1"/>
  <c r="AL51" i="1" s="1"/>
  <c r="AN51" i="1" s="1"/>
  <c r="AQ51" i="1" s="1"/>
  <c r="AG98" i="1"/>
  <c r="AH98" i="1" s="1"/>
  <c r="AJ98" i="1" s="1"/>
  <c r="AL98" i="1" s="1"/>
  <c r="AN98" i="1" s="1"/>
  <c r="AP98" i="1" s="1"/>
  <c r="AG95" i="1"/>
  <c r="AH95" i="1"/>
  <c r="AJ95" i="1" s="1"/>
  <c r="AL95" i="1" s="1"/>
  <c r="AN95" i="1" s="1"/>
  <c r="AP95" i="1" s="1"/>
  <c r="AI58" i="1"/>
  <c r="AJ58" i="1"/>
  <c r="AL58" i="1" s="1"/>
  <c r="AN58" i="1" s="1"/>
  <c r="AQ102" i="1"/>
  <c r="AR102" i="1"/>
  <c r="AS52" i="1"/>
  <c r="AD29" i="1"/>
  <c r="AE29" i="1" s="1"/>
  <c r="AG29" i="1" s="1"/>
  <c r="AN23" i="1"/>
  <c r="AN68" i="1"/>
  <c r="AR68" i="1" s="1"/>
  <c r="AQ103" i="1"/>
  <c r="AR103" i="1" s="1"/>
  <c r="AG7" i="1"/>
  <c r="AH7" i="1" s="1"/>
  <c r="AJ7" i="1" s="1"/>
  <c r="AQ80" i="1"/>
  <c r="AR80" i="1"/>
  <c r="AS48" i="1"/>
  <c r="AL24" i="1"/>
  <c r="AN16" i="1"/>
  <c r="AQ16" i="1" s="1"/>
  <c r="AQ105" i="1"/>
  <c r="AR105" i="1"/>
  <c r="AM45" i="1"/>
  <c r="AG45" i="1"/>
  <c r="T45" i="1"/>
  <c r="T119" i="1" s="1"/>
  <c r="T123" i="1" s="1"/>
  <c r="AI45" i="1"/>
  <c r="AK45" i="1"/>
  <c r="AK83" i="1" s="1"/>
  <c r="AK114" i="1" s="1"/>
  <c r="AC45" i="1"/>
  <c r="AD45" i="1" s="1"/>
  <c r="AE45" i="1" s="1"/>
  <c r="AH45" i="1" s="1"/>
  <c r="AG12" i="1"/>
  <c r="AH12" i="1" s="1"/>
  <c r="AJ12" i="1" s="1"/>
  <c r="AL60" i="1"/>
  <c r="AN60" i="1" s="1"/>
  <c r="AG91" i="1"/>
  <c r="AH91" i="1"/>
  <c r="AJ91" i="1" s="1"/>
  <c r="AL91" i="1" s="1"/>
  <c r="AN91" i="1" s="1"/>
  <c r="AP91" i="1" s="1"/>
  <c r="AG90" i="1"/>
  <c r="AH90" i="1" s="1"/>
  <c r="AJ90" i="1" s="1"/>
  <c r="AL90" i="1" s="1"/>
  <c r="AN90" i="1" s="1"/>
  <c r="AP90" i="1" s="1"/>
  <c r="AI52" i="1"/>
  <c r="AJ52" i="1" s="1"/>
  <c r="AL52" i="1" s="1"/>
  <c r="AN52" i="1" s="1"/>
  <c r="Z83" i="1"/>
  <c r="Z119" i="1" s="1"/>
  <c r="AQ72" i="1"/>
  <c r="AR72" i="1" s="1"/>
  <c r="R83" i="1"/>
  <c r="R114" i="1" s="1" a="1"/>
  <c r="R114" i="1" s="1"/>
  <c r="AQ74" i="1"/>
  <c r="AR74" i="1" s="1"/>
  <c r="AG8" i="1"/>
  <c r="AH8" i="1"/>
  <c r="AJ8" i="1" s="1"/>
  <c r="AD28" i="1"/>
  <c r="AE28" i="1" s="1"/>
  <c r="AG28" i="1" s="1"/>
  <c r="AS56" i="1"/>
  <c r="AQ101" i="1"/>
  <c r="AR101" i="1"/>
  <c r="AG93" i="1"/>
  <c r="AH93" i="1"/>
  <c r="AJ93" i="1" s="1"/>
  <c r="AL93" i="1" s="1"/>
  <c r="AN93" i="1" s="1"/>
  <c r="AP93" i="1" s="1"/>
  <c r="AS65" i="1"/>
  <c r="AS51" i="1"/>
  <c r="S119" i="1"/>
  <c r="S123" i="1" s="1"/>
  <c r="AS46" i="1"/>
  <c r="AQ46" i="1"/>
  <c r="AR46" i="1" s="1"/>
  <c r="AS24" i="1"/>
  <c r="AU16" i="1"/>
  <c r="AU24" i="1" s="1"/>
  <c r="AD32" i="1"/>
  <c r="AE32" i="1" s="1"/>
  <c r="AG32" i="1" s="1"/>
  <c r="AQ64" i="1"/>
  <c r="AR64" i="1" s="1"/>
  <c r="AS64" i="1"/>
  <c r="AG97" i="1"/>
  <c r="AH97" i="1"/>
  <c r="AJ97" i="1" s="1"/>
  <c r="AL97" i="1" s="1"/>
  <c r="AN97" i="1" s="1"/>
  <c r="AP97" i="1" s="1"/>
  <c r="AH47" i="1"/>
  <c r="AJ47" i="1" s="1"/>
  <c r="AL47" i="1" s="1"/>
  <c r="AN47" i="1" s="1"/>
  <c r="AQ55" i="1"/>
  <c r="AR55" i="1" s="1"/>
  <c r="AD27" i="1"/>
  <c r="AE27" i="1" s="1"/>
  <c r="AG27" i="1" s="1"/>
  <c r="AR82" i="1"/>
  <c r="AS53" i="1"/>
  <c r="AG9" i="1"/>
  <c r="AH9" i="1"/>
  <c r="AJ9" i="1" s="1"/>
  <c r="AD24" i="1"/>
  <c r="AD30" i="1"/>
  <c r="AE30" i="1" s="1"/>
  <c r="AG30" i="1" s="1"/>
  <c r="AD33" i="1"/>
  <c r="AE33" i="1" s="1"/>
  <c r="AG33" i="1" s="1"/>
  <c r="R110" i="1"/>
  <c r="AQ82" i="1"/>
  <c r="AQ63" i="1"/>
  <c r="AR63" i="1" s="1"/>
  <c r="AQ18" i="1"/>
  <c r="AR18" i="1" s="1"/>
  <c r="AQ19" i="1"/>
  <c r="AR19" i="1" s="1"/>
  <c r="AQ66" i="1"/>
  <c r="AR66" i="1" s="1"/>
  <c r="P83" i="1"/>
  <c r="P114" i="1" s="1" a="1"/>
  <c r="P114" i="1" s="1"/>
  <c r="AG94" i="1"/>
  <c r="AH94" i="1" s="1"/>
  <c r="AJ94" i="1" s="1"/>
  <c r="AL94" i="1" s="1"/>
  <c r="AN94" i="1" s="1"/>
  <c r="AP94" i="1" s="1"/>
  <c r="AG86" i="1"/>
  <c r="AH86" i="1" s="1"/>
  <c r="AQ87" i="1"/>
  <c r="AR87" i="1" s="1"/>
  <c r="AQ70" i="1"/>
  <c r="AR70" i="1" s="1"/>
  <c r="AS47" i="1"/>
  <c r="AQ47" i="1"/>
  <c r="AL65" i="1"/>
  <c r="AN65" i="1" s="1"/>
  <c r="AQ65" i="1" s="1"/>
  <c r="AK24" i="1"/>
  <c r="AL61" i="1"/>
  <c r="AN61" i="1" s="1"/>
  <c r="AQ61" i="1" s="1"/>
  <c r="AR21" i="1"/>
  <c r="AG10" i="1"/>
  <c r="AH10" i="1"/>
  <c r="AJ10" i="1" s="1"/>
  <c r="AG11" i="1"/>
  <c r="AH11" i="1" s="1"/>
  <c r="AJ11" i="1" s="1"/>
  <c r="AQ54" i="1"/>
  <c r="AR54" i="1" s="1"/>
  <c r="AI57" i="1"/>
  <c r="AJ57" i="1"/>
  <c r="AL57" i="1" s="1"/>
  <c r="AN57" i="1" s="1"/>
  <c r="AB26" i="1"/>
  <c r="AC26" i="1" s="1"/>
  <c r="AD26" i="1" s="1"/>
  <c r="AE26" i="1" s="1"/>
  <c r="AG26" i="1" s="1"/>
  <c r="AG13" i="1"/>
  <c r="AH13" i="1" s="1"/>
  <c r="AJ13" i="1" s="1"/>
  <c r="AI53" i="1"/>
  <c r="AJ53" i="1" s="1"/>
  <c r="AL53" i="1" s="1"/>
  <c r="AN53" i="1" s="1"/>
  <c r="AG6" i="1"/>
  <c r="AE24" i="1"/>
  <c r="AH6" i="1"/>
  <c r="AC88" i="1"/>
  <c r="AB110" i="1"/>
  <c r="AQ78" i="1"/>
  <c r="AR78" i="1" s="1"/>
  <c r="AS61" i="1"/>
  <c r="AB31" i="1"/>
  <c r="AC31" i="1" s="1"/>
  <c r="AD31" i="1" s="1"/>
  <c r="AE31" i="1" s="1"/>
  <c r="AG31" i="1" s="1"/>
  <c r="AR76" i="1"/>
  <c r="AR62" i="1"/>
  <c r="AQ22" i="1"/>
  <c r="AR22" i="1" s="1"/>
  <c r="AS57" i="1"/>
  <c r="AD25" i="1"/>
  <c r="AA83" i="1"/>
  <c r="AA119" i="1" s="1"/>
  <c r="AP23" i="1"/>
  <c r="AR17" i="1"/>
  <c r="AQ58" i="1"/>
  <c r="AS58" i="1"/>
  <c r="AN25" i="1"/>
  <c r="AQ108" i="1"/>
  <c r="AR108" i="1" s="1"/>
  <c r="N83" i="1"/>
  <c r="N114" i="1" s="1" a="1"/>
  <c r="N114" i="1" s="1"/>
  <c r="AE85" i="1" l="1"/>
  <c r="AH84" i="1"/>
  <c r="AC83" i="1"/>
  <c r="AQ23" i="1"/>
  <c r="AP24" i="1"/>
  <c r="AQ90" i="1"/>
  <c r="AR90" i="1" s="1"/>
  <c r="AQ56" i="1"/>
  <c r="AR56" i="1" s="1"/>
  <c r="AQ52" i="1"/>
  <c r="AR52" i="1" s="1"/>
  <c r="AQ53" i="1"/>
  <c r="AR53" i="1" s="1"/>
  <c r="AQ48" i="1"/>
  <c r="AR48" i="1" s="1"/>
  <c r="AQ94" i="1"/>
  <c r="AR94" i="1" s="1"/>
  <c r="AR47" i="1"/>
  <c r="AB83" i="1"/>
  <c r="AB119" i="1" s="1"/>
  <c r="AQ91" i="1"/>
  <c r="AR91" i="1" s="1"/>
  <c r="AR61" i="1"/>
  <c r="AP45" i="1"/>
  <c r="AM83" i="1"/>
  <c r="AP25" i="1"/>
  <c r="AJ6" i="1"/>
  <c r="AJ24" i="1" s="1"/>
  <c r="AH24" i="1"/>
  <c r="AQ97" i="1"/>
  <c r="AR97" i="1"/>
  <c r="AQ96" i="1"/>
  <c r="AR96" i="1" s="1"/>
  <c r="AK119" i="1"/>
  <c r="AQ93" i="1"/>
  <c r="AR93" i="1" s="1"/>
  <c r="AR58" i="1"/>
  <c r="AR51" i="1"/>
  <c r="AQ92" i="1"/>
  <c r="AR92" i="1" s="1"/>
  <c r="AH83" i="1"/>
  <c r="AJ45" i="1"/>
  <c r="AD88" i="1"/>
  <c r="AC110" i="1"/>
  <c r="AC119" i="1" s="1"/>
  <c r="AC120" i="1" s="1"/>
  <c r="AQ60" i="1"/>
  <c r="AR60" i="1" s="1"/>
  <c r="AN24" i="1"/>
  <c r="AR16" i="1"/>
  <c r="AQ98" i="1"/>
  <c r="AR98" i="1" s="1"/>
  <c r="AG24" i="1"/>
  <c r="AA120" i="1"/>
  <c r="AR65" i="1"/>
  <c r="AS83" i="1"/>
  <c r="AS119" i="1" s="1"/>
  <c r="AO23" i="1"/>
  <c r="AO24" i="1" s="1"/>
  <c r="AO119" i="1" s="1"/>
  <c r="AR23" i="1"/>
  <c r="AD83" i="1"/>
  <c r="AE25" i="1"/>
  <c r="AJ86" i="1"/>
  <c r="AQ95" i="1"/>
  <c r="AR95" i="1"/>
  <c r="AQ57" i="1"/>
  <c r="AR57" i="1" s="1"/>
  <c r="AI83" i="1"/>
  <c r="N119" i="1"/>
  <c r="AB120" i="1" s="1"/>
  <c r="AH85" i="1" l="1"/>
  <c r="AH119" i="1" s="1"/>
  <c r="AI84" i="1"/>
  <c r="AQ24" i="1"/>
  <c r="AR110" i="1"/>
  <c r="AR24" i="1"/>
  <c r="AL45" i="1"/>
  <c r="AJ83" i="1"/>
  <c r="AM114" i="1"/>
  <c r="AM119" i="1"/>
  <c r="AL86" i="1"/>
  <c r="AQ25" i="1"/>
  <c r="AR25" i="1" s="1"/>
  <c r="AP83" i="1"/>
  <c r="AG25" i="1"/>
  <c r="AG83" i="1" s="1"/>
  <c r="AE83" i="1"/>
  <c r="AE88" i="1"/>
  <c r="AD110" i="1"/>
  <c r="AD119" i="1" s="1"/>
  <c r="N123" i="1"/>
  <c r="N127" i="1" s="1"/>
  <c r="AJ84" i="1" l="1"/>
  <c r="AI85" i="1"/>
  <c r="AG88" i="1"/>
  <c r="AG110" i="1" s="1"/>
  <c r="AG119" i="1" s="1"/>
  <c r="AG120" i="1" s="1"/>
  <c r="AI120" i="1" s="1"/>
  <c r="AE110" i="1"/>
  <c r="AE119" i="1" s="1"/>
  <c r="AN86" i="1"/>
  <c r="AN45" i="1"/>
  <c r="AL83" i="1"/>
  <c r="AJ85" i="1" l="1"/>
  <c r="AL84" i="1"/>
  <c r="AI119" i="1"/>
  <c r="AI114" i="1"/>
  <c r="AI122" i="1"/>
  <c r="AI123" i="1"/>
  <c r="AN83" i="1"/>
  <c r="AQ45" i="1"/>
  <c r="AR45" i="1" s="1"/>
  <c r="AR83" i="1" s="1"/>
  <c r="AP86" i="1"/>
  <c r="AH88" i="1"/>
  <c r="AN84" i="1" l="1"/>
  <c r="AL85" i="1"/>
  <c r="AQ83" i="1"/>
  <c r="AJ88" i="1"/>
  <c r="AH110" i="1"/>
  <c r="AQ86" i="1"/>
  <c r="AR86" i="1" s="1"/>
  <c r="AP84" i="1" l="1"/>
  <c r="AN85" i="1"/>
  <c r="AL88" i="1"/>
  <c r="AJ110" i="1"/>
  <c r="AJ119" i="1" s="1"/>
  <c r="AP85" i="1" l="1"/>
  <c r="AQ85" i="1" s="1"/>
  <c r="AQ84" i="1"/>
  <c r="AR84" i="1" s="1"/>
  <c r="AR85" i="1" s="1"/>
  <c r="AR119" i="1" s="1"/>
  <c r="AJ114" i="1"/>
  <c r="AN88" i="1"/>
  <c r="AL110" i="1"/>
  <c r="AL119" i="1" s="1"/>
  <c r="AL114" i="1"/>
  <c r="AP88" i="1" l="1"/>
  <c r="AN110" i="1"/>
  <c r="AN119" i="1" s="1"/>
  <c r="AN114" i="1"/>
  <c r="AQ88" i="1" l="1"/>
  <c r="AP110" i="1"/>
  <c r="AQ110" i="1" l="1"/>
  <c r="AQ119" i="1" s="1"/>
  <c r="AR88" i="1"/>
  <c r="AR114" i="1" s="1"/>
  <c r="AP119" i="1"/>
  <c r="AP114" i="1"/>
  <c r="P24" i="1"/>
  <c r="P119" i="1"/>
  <c r="P123" i="1"/>
  <c r="U125" i="1"/>
  <c r="Q24" i="1"/>
  <c r="Q119" i="1"/>
  <c r="Q123" i="1"/>
  <c r="R24" i="1"/>
  <c r="R119" i="1"/>
  <c r="R123" i="1"/>
</calcChain>
</file>

<file path=xl/sharedStrings.xml><?xml version="1.0" encoding="utf-8"?>
<sst xmlns="http://schemas.openxmlformats.org/spreadsheetml/2006/main" count="446" uniqueCount="161">
  <si>
    <t>BASE NORMATIVA CONAC-VALOR BIEN PRECIO UNITARIOS</t>
  </si>
  <si>
    <t>Patronato de Museos San Pedro</t>
  </si>
  <si>
    <t>IMPORTE UMAS 2021</t>
  </si>
  <si>
    <t xml:space="preserve">Bienes Muebles Adquiridos </t>
  </si>
  <si>
    <t>IMPORTE UMAS 2022</t>
  </si>
  <si>
    <t>FECHA ADQUISICION</t>
  </si>
  <si>
    <t>PERIODO DEL 1 ENERO DE 2024 AL 31 DE DICIEMBRE DE 2025</t>
  </si>
  <si>
    <t>4</t>
  </si>
  <si>
    <t>5</t>
  </si>
  <si>
    <t>6</t>
  </si>
  <si>
    <t>7</t>
  </si>
  <si>
    <t>8</t>
  </si>
  <si>
    <t>9</t>
  </si>
  <si>
    <t>10</t>
  </si>
  <si>
    <t>11</t>
  </si>
  <si>
    <t>CTA CONAC- ACTIVO</t>
  </si>
  <si>
    <t>MES</t>
  </si>
  <si>
    <t>2018</t>
  </si>
  <si>
    <t>2019</t>
  </si>
  <si>
    <t>2020</t>
  </si>
  <si>
    <t>2021</t>
  </si>
  <si>
    <t>2022</t>
  </si>
  <si>
    <t>2023</t>
  </si>
  <si>
    <t>NUM SERIE</t>
  </si>
  <si>
    <t>NUMERO DE ACTIVO</t>
  </si>
  <si>
    <t xml:space="preserve">DESCRIPCION DEL ACTIVO / MODELO </t>
  </si>
  <si>
    <t>VALOR FACTURA ACTIVOS</t>
  </si>
  <si>
    <t>MONTO ACTIVOS 2018</t>
  </si>
  <si>
    <t>MONTO ACTIVOS 2019</t>
  </si>
  <si>
    <t>MONTO ACTIVOS 2020</t>
  </si>
  <si>
    <t>MONTO ACTIVOS 2021</t>
  </si>
  <si>
    <t>MONTO ACTIVOS 2022</t>
  </si>
  <si>
    <t>MONTO ACTIVOS 2023</t>
  </si>
  <si>
    <t>CTA CONAC DEPRECIACIONES</t>
  </si>
  <si>
    <t>% DEPRECIACION ANUAL</t>
  </si>
  <si>
    <t>% Deprec Mensual</t>
  </si>
  <si>
    <t>Deprec-2018</t>
  </si>
  <si>
    <t xml:space="preserve">Deprec-2019 </t>
  </si>
  <si>
    <t>SALDO -2019</t>
  </si>
  <si>
    <t>Deprec-2020</t>
  </si>
  <si>
    <t>ACUMULADO DEPRECIACIONES</t>
  </si>
  <si>
    <t>SALDO -2020</t>
  </si>
  <si>
    <t xml:space="preserve">MES SERVICIO </t>
  </si>
  <si>
    <t>Deprec-2021</t>
  </si>
  <si>
    <t>SALDO -2021</t>
  </si>
  <si>
    <t>Deprec-2022</t>
  </si>
  <si>
    <t>SALDO 2022</t>
  </si>
  <si>
    <t>Deprec-2023</t>
  </si>
  <si>
    <t>SALDO 2023 POR DEPRECIAR</t>
  </si>
  <si>
    <t>Deprec-2024</t>
  </si>
  <si>
    <t>SALDO 2024 POR DEPRECIAR</t>
  </si>
  <si>
    <t>DEP MESNUAL</t>
  </si>
  <si>
    <t>A SEP 2025</t>
  </si>
  <si>
    <t>SALDO 20245POR DEPRECIAR</t>
  </si>
  <si>
    <t>TRIM</t>
  </si>
  <si>
    <t>Deprec-2025</t>
  </si>
  <si>
    <t>Deprec-2026</t>
  </si>
  <si>
    <t>Deprec-2027</t>
  </si>
  <si>
    <t>Deprec-2028</t>
  </si>
  <si>
    <t>1QB5LP2</t>
  </si>
  <si>
    <t>DELL G3 15-3579 PROCESADOR INTELCORE i7 8750H</t>
  </si>
  <si>
    <t>X</t>
  </si>
  <si>
    <t>D3N6LP2</t>
  </si>
  <si>
    <t>NXGT8AL00182108EC03400</t>
  </si>
  <si>
    <t>ACER NB ASPIRE A 515-51-50TD-C15-7200 8GB 1TB RED 1WTY</t>
  </si>
  <si>
    <t>NXGT8AL00182108F893400</t>
  </si>
  <si>
    <t>NXGT8AL00182108FAF3400</t>
  </si>
  <si>
    <t>NXGT8AL00182108FC53400</t>
  </si>
  <si>
    <t>NXGT8AL00182108FD53400</t>
  </si>
  <si>
    <t>NXGT8AL00182108FD93400</t>
  </si>
  <si>
    <t>NXGT8AL001821090FD3400</t>
  </si>
  <si>
    <t>U63885G8N254493</t>
  </si>
  <si>
    <t>MULTIFUNCIONAL BROTHER DCP-L2540 DW</t>
  </si>
  <si>
    <t>LENOVO L 340 -15 IRH, NTELCORE I7, 16 GB ,DDR4, 1 TB, WINDOWS 10 N/S : SPF23BC3E</t>
  </si>
  <si>
    <t>ENE - MAY</t>
  </si>
  <si>
    <t>LENOVO L 340 -15 IRH, NTELCORE I7, 16 GB ,DDR4, 1 TB, WINDOWS 10 N/S : SPF23R355</t>
  </si>
  <si>
    <t>LENOVO L 340 -15 IRH, NTELCORE I7, 16 GB ,DDR4, 1 TB, WINDOWS 10 N/S : SPF246FG8</t>
  </si>
  <si>
    <t>PD-359</t>
  </si>
  <si>
    <t>LAPTOP -</t>
  </si>
  <si>
    <t>PD-386</t>
  </si>
  <si>
    <t>PD-500</t>
  </si>
  <si>
    <t xml:space="preserve">ALCOHOLIMETRO (Equipo e Instrumental Médico y de Laboratorio tasa 33.33% DOF) </t>
  </si>
  <si>
    <t>NO ESTABA EN CEDULA HAY DIFERNCIA POR REGISTRAR EN 2025</t>
  </si>
  <si>
    <t>TV SPECTRA</t>
  </si>
  <si>
    <t>Total 12413</t>
  </si>
  <si>
    <t>Equipo de Cómputo y de Tecnolog¡as de la Información</t>
  </si>
  <si>
    <t>EQUIPO CONTRA INCENDIO NUEVO PQS DE 4.5 KG C/SOPORTE INCLUIDO</t>
  </si>
  <si>
    <t xml:space="preserve">EQUIPO CAPUCHAS PARA EXTINTOR PQS DE 4.5 KG </t>
  </si>
  <si>
    <t xml:space="preserve">KIT DE INMOVILIZACION REXPONDER </t>
  </si>
  <si>
    <t>EQUIPO ELEVADOR - SUMINISTRO E INSTALACION</t>
  </si>
  <si>
    <t>1.2.4.6.7 Herramientas y Màquinas-Herramienta</t>
  </si>
  <si>
    <t>MARTILLO DEMOLEDOR DE 9.4 KGS</t>
  </si>
  <si>
    <t>REVISAR EN 2021 SU VIDA UTIL RESTANTE</t>
  </si>
  <si>
    <t>ENE - DIC</t>
  </si>
  <si>
    <t xml:space="preserve">CORTADORA DE METALES 14 DW </t>
  </si>
  <si>
    <t>VIDA UTIL CORTA- RIESGO DE PERDIDA DEL EQUIPO</t>
  </si>
  <si>
    <t xml:space="preserve">VIBRADOR A GASOLINA CON MOTOR KOHLER </t>
  </si>
  <si>
    <t xml:space="preserve">VIBRADOR  ELECTRICO CORRIENTE 110 VOLTS </t>
  </si>
  <si>
    <t>VIBRADOR ELECTRICO PARA CONCRETOCIave SAT: 27112</t>
  </si>
  <si>
    <t>VIBRADOR CON MOTOR DE GASOLINACIave SAT: 27112205</t>
  </si>
  <si>
    <t>CHICOTE ELECTRICO DE 6.00 MTSCIave SAT: 31162800 - Fe</t>
  </si>
  <si>
    <t>GENERADOR ELÉCTRICO DE 10,000 WATS</t>
  </si>
  <si>
    <t xml:space="preserve">CINCELADORA DE DEMOLICION </t>
  </si>
  <si>
    <t>SIERRA CINTA 12" 305MM 12" 2 VEL MAKITA- LB1200F</t>
  </si>
  <si>
    <t>SIERRA MESA 10"3.5 HP DEWALT - DWE7470-B3</t>
  </si>
  <si>
    <t>SOPORTE TIPO BURRO DE CARGA DE MATERIAL VIGA H DE 10 X 5 3/4 PESADA Y PATAS DE TUBO DE E CEDULA</t>
  </si>
  <si>
    <t>ESCALERAS DE EXTENSIÓN 494 - 32 U/DOM CUPRUM</t>
  </si>
  <si>
    <t>CAMA PARA CARGA DE RECTANGULAR DE 6" X 4" CAL.14 DE 9:00M POR .80 M.</t>
  </si>
  <si>
    <t xml:space="preserve"> JUEGO DE CABALLETE ACERO PTR 2X2"CAL.14 Y PATIN DE TRASLA</t>
  </si>
  <si>
    <t xml:space="preserve">SISTEMA CONTRA INCENDIO </t>
  </si>
  <si>
    <t>SISTEMA DE AIRE ACONDICIONADO</t>
  </si>
  <si>
    <t>COMPLEMENTO PD 1152 AÑO 2022 CORRIGE DESCUENTO DE ANTICIPO  ESTIMACION  04 SUMINISTRO E INSTALA</t>
  </si>
  <si>
    <t>ESTIMACION #7 SUMINISTRO E INSTALACION DE SISTEMA DE HVAC PARA MUSEO LA MILARCA</t>
  </si>
  <si>
    <t xml:space="preserve">ESTIMACION 07 REGISTRO DEL DESCTO. DEL ANTICIPO PAGADO EN FACT 4480 AÑO 2022  Y  RETENCION DEL </t>
  </si>
  <si>
    <t>IVA  DE FACT 4480 PAGADO AÑO 2022 NO CONSIDERADO EN EL DESCTO DEL ANTICIPO DE ESTIMACION 07   P</t>
  </si>
  <si>
    <t>IVA DE  FACT 4480 PAGADO AÑO 2022 NO CONSIDERADO EN EL DESCTO DEL ANTICIPO DE ESTIMACION  06 PD</t>
  </si>
  <si>
    <t xml:space="preserve">IVA DE FACT 4480 PAGADO EN AÑO 2022 NO CONSIDERADO EN EL DESCTO DEL ANTICIPO EN ESTIMACION 05  </t>
  </si>
  <si>
    <t xml:space="preserve">IVA DE FACT 4480 PAGADO EN AÑO 2022 NO CONSIDERADO EN EL DESCUENTO DEL ANTICIPO  EN ESTIMACION </t>
  </si>
  <si>
    <t>IVA DE LA FACT 4480 PAGADO EN AÑO 2022 NO CONSIDERADO EN EL DESCUENTO DEL ANTICIPO EN ESTIMACIO</t>
  </si>
  <si>
    <t>IVA DE FACT 4480 PAGADO EN AÑO 2022 NO CONSIDERADO EN EL DESCUENTO DEL ANTICIPO EN ESTIMACION 0</t>
  </si>
  <si>
    <t>COMPLEMENTO PD 977 AÑO 2022  ESTIMACION #1 SUMINISTRO E INSTALACION DE SSITEMA HVAC Y AMORTIZAC</t>
  </si>
  <si>
    <t>FACT- 4652 COMPLEMENTO PD 1068 AÑO 2022  ESTIMACION #02 SUMINISTRO E INSTALACION DE SISTEMA HVA</t>
  </si>
  <si>
    <t>CORRECCION DE MOVIMIENTO DE PD-48,  EL CUAL FUE TRASPASADO EN PD 424 A INVERSIONES EN PROCESO E</t>
  </si>
  <si>
    <t>Total 12469</t>
  </si>
  <si>
    <t>Maquinaria, Otros Equipos y Herramientas</t>
  </si>
  <si>
    <t xml:space="preserve"> </t>
  </si>
  <si>
    <t>SISTEMA CONTABLE  SAFYP</t>
  </si>
  <si>
    <t>Total 12511</t>
  </si>
  <si>
    <t>Software</t>
  </si>
  <si>
    <t>SN</t>
  </si>
  <si>
    <t>ARCHIVERO VERTICAL DE 4 GAVETAS CAOBA</t>
  </si>
  <si>
    <t>CREDENZA DUAL CAOBA 170X50X75</t>
  </si>
  <si>
    <t xml:space="preserve"> mas flete ** muebles de ofc </t>
  </si>
  <si>
    <t>LAVAMANOS ( Otros Mobiliarios y Equipo Educacional y Recreativo)</t>
  </si>
  <si>
    <t xml:space="preserve">diferencia </t>
  </si>
  <si>
    <t>LIBRERO</t>
  </si>
  <si>
    <t>SILLAS</t>
  </si>
  <si>
    <t>ARCHIVERO MOVIL 03 GAVETAS</t>
  </si>
  <si>
    <t>MESA DE TRABAJO</t>
  </si>
  <si>
    <t>PRODUCCION DE MOBILIARIO "GABINETE DE MARAVILLAS", ILUMINACION Y CONTROL PARA EL "GABINETE DE M</t>
  </si>
  <si>
    <t>x</t>
  </si>
  <si>
    <t xml:space="preserve">REFRIGERA | MICROONDAS
</t>
  </si>
  <si>
    <t>Total 12411</t>
  </si>
  <si>
    <t>Mobiliario y Equipo de Administración</t>
  </si>
  <si>
    <t>VIBRO COMPACTADOR</t>
  </si>
  <si>
    <t>ROTOMARTILLO INALAMBRICO Y DESTORNILLADOR DE IMPACTO</t>
  </si>
  <si>
    <t>SUMA TOTAL DE ACTIVOS</t>
  </si>
  <si>
    <t>Total general</t>
  </si>
  <si>
    <t xml:space="preserve">VALOR TOTAL DE ACTIVOS </t>
  </si>
  <si>
    <t>ACUMULADOS ANUALES DE DEPRECIACIONES</t>
  </si>
  <si>
    <t>BALANZA DICIEMBRE 2022  SALDO POR DEPRECIAR</t>
  </si>
  <si>
    <t>BALANZA DICIEMBRE 2022 ACTIVOS TOTALES</t>
  </si>
  <si>
    <t>BALANZA COMPROBACION- 24 ABRIL 2023</t>
  </si>
  <si>
    <t>Suma Contable Grupo 123- Bienes Muebles</t>
  </si>
  <si>
    <t>Suma Contable Grupo 124 Activos Intangibles</t>
  </si>
  <si>
    <t>TOTAL BIENES MUEBLES</t>
  </si>
  <si>
    <t>LISTADO DE BIENES MUEBLES AL 31 DE DICIEMBRE 2025</t>
  </si>
  <si>
    <t>LAVAMANOS</t>
  </si>
  <si>
    <t>FECHA ADQ</t>
  </si>
  <si>
    <t>PATRONATO DE MUSEOS DE SAN PEDRO</t>
  </si>
  <si>
    <t xml:space="preserve">AUTOMÓVIL MAZDA 3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</si>
</sst>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$-80A]* #,##0.00_-;\-[$$-80A]* #,##0.00_-;_-[$$-80A]* &quot;-&quot;??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ahnschrift Light Condensed"/>
      <family val="2"/>
    </font>
    <font>
      <sz val="7"/>
      <color theme="1"/>
      <name val="Bahnschrift Light Condensed"/>
      <family val="2"/>
    </font>
    <font>
      <b/>
      <sz val="12"/>
      <color theme="1"/>
      <name val="DengXian"/>
      <charset val="134"/>
    </font>
    <font>
      <sz val="11"/>
      <color rgb="FFFF0000"/>
      <name val="Bahnschrift Light Condensed"/>
      <family val="2"/>
    </font>
    <font>
      <b/>
      <sz val="7"/>
      <color theme="1"/>
      <name val="DengXian"/>
      <charset val="134"/>
    </font>
    <font>
      <b/>
      <sz val="22"/>
      <color theme="1"/>
      <name val="DengXian"/>
      <charset val="134"/>
    </font>
    <font>
      <sz val="9"/>
      <color theme="1"/>
      <name val="Bahnschrift Light Condensed"/>
      <family val="2"/>
    </font>
    <font>
      <sz val="7"/>
      <color theme="1"/>
      <name val="Calibri"/>
      <family val="2"/>
      <scheme val="minor"/>
    </font>
    <font>
      <b/>
      <sz val="16"/>
      <color theme="1"/>
      <name val="DengXian"/>
      <charset val="134"/>
    </font>
    <font>
      <b/>
      <sz val="8"/>
      <color theme="1"/>
      <name val="DengXian"/>
      <charset val="134"/>
    </font>
    <font>
      <sz val="11"/>
      <color theme="0"/>
      <name val="Bahnschrift Light Condensed"/>
      <family val="2"/>
    </font>
    <font>
      <sz val="10"/>
      <color theme="1"/>
      <name val="DengXian"/>
      <charset val="134"/>
    </font>
    <font>
      <sz val="7"/>
      <color theme="1"/>
      <name val="DengXian"/>
      <charset val="134"/>
    </font>
    <font>
      <sz val="9"/>
      <color indexed="64"/>
      <name val="Arial"/>
      <family val="2"/>
    </font>
    <font>
      <sz val="8"/>
      <color indexed="64"/>
      <name val="Arial"/>
      <family val="2"/>
    </font>
    <font>
      <sz val="9"/>
      <color theme="1"/>
      <name val="Arial Narrow"/>
      <family val="2"/>
    </font>
    <font>
      <b/>
      <sz val="11"/>
      <color theme="1"/>
      <name val="Bahnschrift Light Condensed"/>
      <family val="2"/>
    </font>
    <font>
      <b/>
      <sz val="10"/>
      <color theme="1"/>
      <name val="DengXian"/>
      <charset val="134"/>
    </font>
    <font>
      <b/>
      <sz val="9"/>
      <name val="Arial Narrow"/>
      <family val="2"/>
    </font>
    <font>
      <sz val="11"/>
      <color indexed="64"/>
      <name val="Arial Narrow"/>
      <family val="2"/>
    </font>
    <font>
      <b/>
      <sz val="11"/>
      <color indexed="64"/>
      <name val="Arial Narrow"/>
      <family val="2"/>
    </font>
    <font>
      <b/>
      <sz val="11"/>
      <name val="Bahnschrift Light Condensed"/>
      <family val="2"/>
    </font>
    <font>
      <b/>
      <sz val="10"/>
      <name val="DengXian"/>
      <charset val="134"/>
    </font>
    <font>
      <sz val="9"/>
      <name val="Arial Narrow"/>
      <family val="2"/>
    </font>
    <font>
      <b/>
      <sz val="7"/>
      <color theme="1"/>
      <name val="Bahnschrift Light Condensed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64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3" fillId="2" borderId="0" xfId="0" applyFont="1" applyFill="1"/>
    <xf numFmtId="0" fontId="4" fillId="2" borderId="0" xfId="0" applyFont="1" applyFill="1"/>
    <xf numFmtId="0" fontId="6" fillId="2" borderId="0" xfId="0" applyFont="1" applyFill="1" applyAlignment="1">
      <alignment horizontal="center" wrapText="1"/>
    </xf>
    <xf numFmtId="44" fontId="3" fillId="0" borderId="0" xfId="2" applyFont="1"/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0" xfId="0" quotePrefix="1" applyFont="1" applyFill="1" applyAlignment="1">
      <alignment horizontal="center"/>
    </xf>
    <xf numFmtId="0" fontId="3" fillId="2" borderId="0" xfId="0" quotePrefix="1" applyFont="1" applyFill="1"/>
    <xf numFmtId="0" fontId="3" fillId="0" borderId="0" xfId="0" quotePrefix="1" applyFont="1"/>
    <xf numFmtId="0" fontId="3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quotePrefix="1" applyFont="1" applyBorder="1" applyAlignment="1">
      <alignment horizontal="center"/>
    </xf>
    <xf numFmtId="49" fontId="14" fillId="0" borderId="2" xfId="0" applyNumberFormat="1" applyFont="1" applyBorder="1"/>
    <xf numFmtId="43" fontId="3" fillId="0" borderId="2" xfId="1" applyFont="1" applyFill="1" applyBorder="1"/>
    <xf numFmtId="164" fontId="15" fillId="0" borderId="2" xfId="2" applyNumberFormat="1" applyFont="1" applyBorder="1"/>
    <xf numFmtId="10" fontId="14" fillId="0" borderId="2" xfId="3" applyNumberFormat="1" applyFont="1" applyBorder="1" applyAlignment="1">
      <alignment horizontal="center"/>
    </xf>
    <xf numFmtId="44" fontId="3" fillId="0" borderId="2" xfId="2" applyFont="1" applyFill="1" applyBorder="1"/>
    <xf numFmtId="43" fontId="3" fillId="0" borderId="2" xfId="1" applyFont="1" applyBorder="1"/>
    <xf numFmtId="43" fontId="3" fillId="0" borderId="4" xfId="1" applyFont="1" applyBorder="1"/>
    <xf numFmtId="43" fontId="3" fillId="0" borderId="5" xfId="1" applyFont="1" applyBorder="1"/>
    <xf numFmtId="43" fontId="3" fillId="0" borderId="0" xfId="1" applyFont="1" applyBorder="1"/>
    <xf numFmtId="43" fontId="3" fillId="0" borderId="0" xfId="1" applyFont="1"/>
    <xf numFmtId="0" fontId="3" fillId="0" borderId="3" xfId="0" quotePrefix="1" applyFont="1" applyBorder="1" applyAlignment="1">
      <alignment horizontal="center"/>
    </xf>
    <xf numFmtId="49" fontId="14" fillId="0" borderId="3" xfId="0" applyNumberFormat="1" applyFont="1" applyBorder="1"/>
    <xf numFmtId="164" fontId="15" fillId="0" borderId="3" xfId="2" applyNumberFormat="1" applyFont="1" applyBorder="1"/>
    <xf numFmtId="0" fontId="3" fillId="0" borderId="3" xfId="0" applyFont="1" applyBorder="1" applyAlignment="1">
      <alignment horizontal="center"/>
    </xf>
    <xf numFmtId="10" fontId="14" fillId="0" borderId="3" xfId="3" applyNumberFormat="1" applyFont="1" applyBorder="1" applyAlignment="1">
      <alignment horizontal="center"/>
    </xf>
    <xf numFmtId="0" fontId="3" fillId="0" borderId="3" xfId="0" applyFont="1" applyBorder="1"/>
    <xf numFmtId="44" fontId="3" fillId="0" borderId="3" xfId="2" applyFont="1" applyFill="1" applyBorder="1"/>
    <xf numFmtId="43" fontId="3" fillId="0" borderId="3" xfId="1" applyFont="1" applyBorder="1"/>
    <xf numFmtId="0" fontId="14" fillId="0" borderId="2" xfId="0" applyFont="1" applyBorder="1"/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44" fontId="3" fillId="0" borderId="2" xfId="2" applyFont="1" applyBorder="1"/>
    <xf numFmtId="44" fontId="3" fillId="0" borderId="0" xfId="2" applyFont="1" applyBorder="1"/>
    <xf numFmtId="0" fontId="17" fillId="0" borderId="0" xfId="0" applyFont="1" applyAlignment="1">
      <alignment horizontal="left" vertical="top" wrapText="1"/>
    </xf>
    <xf numFmtId="0" fontId="16" fillId="0" borderId="5" xfId="0" applyFont="1" applyBorder="1" applyAlignment="1">
      <alignment horizontal="center" vertical="center" wrapText="1"/>
    </xf>
    <xf numFmtId="0" fontId="18" fillId="0" borderId="2" xfId="0" applyFont="1" applyBorder="1"/>
    <xf numFmtId="44" fontId="3" fillId="0" borderId="2" xfId="0" applyNumberFormat="1" applyFont="1" applyBorder="1"/>
    <xf numFmtId="44" fontId="3" fillId="4" borderId="2" xfId="0" applyNumberFormat="1" applyFont="1" applyFill="1" applyBorder="1"/>
    <xf numFmtId="44" fontId="3" fillId="0" borderId="0" xfId="0" applyNumberFormat="1" applyFont="1"/>
    <xf numFmtId="0" fontId="19" fillId="0" borderId="2" xfId="0" applyFont="1" applyBorder="1" applyAlignment="1">
      <alignment horizontal="center"/>
    </xf>
    <xf numFmtId="0" fontId="19" fillId="0" borderId="2" xfId="0" applyFont="1" applyBorder="1"/>
    <xf numFmtId="0" fontId="19" fillId="0" borderId="2" xfId="0" quotePrefix="1" applyFont="1" applyBorder="1" applyAlignment="1">
      <alignment horizontal="center"/>
    </xf>
    <xf numFmtId="49" fontId="20" fillId="0" borderId="2" xfId="0" applyNumberFormat="1" applyFont="1" applyBorder="1"/>
    <xf numFmtId="0" fontId="21" fillId="0" borderId="2" xfId="0" applyFont="1" applyBorder="1" applyAlignment="1">
      <alignment horizontal="left" vertical="top" wrapText="1"/>
    </xf>
    <xf numFmtId="43" fontId="19" fillId="0" borderId="2" xfId="1" applyFont="1" applyFill="1" applyBorder="1"/>
    <xf numFmtId="43" fontId="19" fillId="0" borderId="2" xfId="1" applyFont="1" applyBorder="1"/>
    <xf numFmtId="43" fontId="19" fillId="0" borderId="0" xfId="1" applyFont="1"/>
    <xf numFmtId="0" fontId="19" fillId="0" borderId="0" xfId="0" applyFont="1"/>
    <xf numFmtId="49" fontId="18" fillId="0" borderId="2" xfId="0" applyNumberFormat="1" applyFont="1" applyBorder="1"/>
    <xf numFmtId="43" fontId="3" fillId="0" borderId="5" xfId="1" applyFont="1" applyFill="1" applyBorder="1"/>
    <xf numFmtId="49" fontId="18" fillId="0" borderId="2" xfId="0" applyNumberFormat="1" applyFont="1" applyBorder="1" applyAlignment="1">
      <alignment wrapText="1"/>
    </xf>
    <xf numFmtId="43" fontId="4" fillId="0" borderId="2" xfId="1" applyFont="1" applyBorder="1"/>
    <xf numFmtId="0" fontId="22" fillId="0" borderId="2" xfId="0" applyFont="1" applyBorder="1" applyAlignment="1">
      <alignment horizontal="left" vertical="center" wrapText="1"/>
    </xf>
    <xf numFmtId="4" fontId="22" fillId="0" borderId="2" xfId="4" applyNumberFormat="1" applyFont="1" applyFill="1" applyBorder="1" applyAlignment="1">
      <alignment horizontal="right" vertical="center" wrapText="1"/>
    </xf>
    <xf numFmtId="0" fontId="4" fillId="0" borderId="2" xfId="0" applyFont="1" applyBorder="1"/>
    <xf numFmtId="43" fontId="3" fillId="0" borderId="0" xfId="0" applyNumberFormat="1" applyFont="1"/>
    <xf numFmtId="0" fontId="23" fillId="0" borderId="2" xfId="0" applyFont="1" applyBorder="1" applyAlignment="1">
      <alignment horizontal="center" vertical="center" wrapText="1"/>
    </xf>
    <xf numFmtId="0" fontId="0" fillId="0" borderId="2" xfId="0" applyBorder="1"/>
    <xf numFmtId="44" fontId="3" fillId="4" borderId="0" xfId="0" applyNumberFormat="1" applyFont="1" applyFill="1"/>
    <xf numFmtId="44" fontId="6" fillId="0" borderId="2" xfId="2" applyFont="1" applyBorder="1"/>
    <xf numFmtId="44" fontId="6" fillId="0" borderId="0" xfId="2" applyFont="1" applyBorder="1"/>
    <xf numFmtId="43" fontId="3" fillId="5" borderId="2" xfId="1" applyFont="1" applyFill="1" applyBorder="1"/>
    <xf numFmtId="0" fontId="20" fillId="0" borderId="2" xfId="0" applyFont="1" applyBorder="1"/>
    <xf numFmtId="10" fontId="20" fillId="0" borderId="2" xfId="3" applyNumberFormat="1" applyFont="1" applyBorder="1" applyAlignment="1">
      <alignment horizontal="center"/>
    </xf>
    <xf numFmtId="44" fontId="19" fillId="0" borderId="0" xfId="0" applyNumberFormat="1" applyFont="1"/>
    <xf numFmtId="4" fontId="19" fillId="0" borderId="0" xfId="0" applyNumberFormat="1" applyFont="1"/>
    <xf numFmtId="0" fontId="2" fillId="0" borderId="0" xfId="0" applyFont="1"/>
    <xf numFmtId="0" fontId="18" fillId="2" borderId="2" xfId="0" applyFont="1" applyFill="1" applyBorder="1"/>
    <xf numFmtId="164" fontId="14" fillId="0" borderId="2" xfId="2" applyNumberFormat="1" applyFont="1" applyBorder="1"/>
    <xf numFmtId="44" fontId="19" fillId="0" borderId="2" xfId="0" applyNumberFormat="1" applyFont="1" applyBorder="1"/>
    <xf numFmtId="0" fontId="26" fillId="0" borderId="2" xfId="0" applyFont="1" applyBorder="1" applyAlignment="1">
      <alignment horizontal="left" vertical="top" wrapText="1"/>
    </xf>
    <xf numFmtId="0" fontId="20" fillId="2" borderId="2" xfId="0" applyFont="1" applyFill="1" applyBorder="1"/>
    <xf numFmtId="0" fontId="19" fillId="0" borderId="0" xfId="0" applyFont="1" applyAlignment="1">
      <alignment horizontal="center"/>
    </xf>
    <xf numFmtId="0" fontId="20" fillId="0" borderId="0" xfId="0" applyFont="1"/>
    <xf numFmtId="164" fontId="20" fillId="0" borderId="0" xfId="2" applyNumberFormat="1" applyFont="1" applyFill="1" applyBorder="1"/>
    <xf numFmtId="164" fontId="7" fillId="0" borderId="0" xfId="2" applyNumberFormat="1" applyFont="1" applyBorder="1"/>
    <xf numFmtId="164" fontId="20" fillId="0" borderId="0" xfId="2" applyNumberFormat="1" applyFont="1" applyBorder="1"/>
    <xf numFmtId="4" fontId="0" fillId="0" borderId="0" xfId="0" applyNumberFormat="1"/>
    <xf numFmtId="0" fontId="14" fillId="0" borderId="0" xfId="0" applyFont="1"/>
    <xf numFmtId="164" fontId="14" fillId="0" borderId="0" xfId="2" applyNumberFormat="1" applyFont="1" applyFill="1" applyBorder="1"/>
    <xf numFmtId="164" fontId="15" fillId="0" borderId="0" xfId="2" applyNumberFormat="1" applyFont="1" applyBorder="1"/>
    <xf numFmtId="164" fontId="14" fillId="0" borderId="0" xfId="2" applyNumberFormat="1" applyFont="1" applyBorder="1"/>
    <xf numFmtId="4" fontId="19" fillId="0" borderId="0" xfId="0" applyNumberFormat="1" applyFont="1" applyAlignment="1">
      <alignment vertical="center"/>
    </xf>
    <xf numFmtId="0" fontId="27" fillId="0" borderId="0" xfId="0" applyFont="1"/>
    <xf numFmtId="15" fontId="4" fillId="0" borderId="0" xfId="0" applyNumberFormat="1" applyFont="1"/>
    <xf numFmtId="4" fontId="3" fillId="0" borderId="0" xfId="0" applyNumberFormat="1" applyFont="1"/>
    <xf numFmtId="0" fontId="24" fillId="6" borderId="2" xfId="0" applyFont="1" applyFill="1" applyBorder="1" applyAlignment="1">
      <alignment horizontal="center"/>
    </xf>
    <xf numFmtId="0" fontId="24" fillId="6" borderId="2" xfId="0" applyFont="1" applyFill="1" applyBorder="1"/>
    <xf numFmtId="0" fontId="24" fillId="6" borderId="2" xfId="0" quotePrefix="1" applyFont="1" applyFill="1" applyBorder="1" applyAlignment="1">
      <alignment horizontal="center"/>
    </xf>
    <xf numFmtId="49" fontId="25" fillId="6" borderId="2" xfId="0" applyNumberFormat="1" applyFont="1" applyFill="1" applyBorder="1"/>
    <xf numFmtId="0" fontId="21" fillId="6" borderId="2" xfId="0" applyFont="1" applyFill="1" applyBorder="1" applyAlignment="1">
      <alignment horizontal="left" vertical="top" wrapText="1"/>
    </xf>
    <xf numFmtId="43" fontId="24" fillId="6" borderId="2" xfId="1" applyFont="1" applyFill="1" applyBorder="1"/>
    <xf numFmtId="10" fontId="25" fillId="6" borderId="2" xfId="3" applyNumberFormat="1" applyFont="1" applyFill="1" applyBorder="1" applyAlignment="1">
      <alignment horizontal="center"/>
    </xf>
    <xf numFmtId="43" fontId="3" fillId="6" borderId="2" xfId="1" applyFont="1" applyFill="1" applyBorder="1"/>
    <xf numFmtId="44" fontId="24" fillId="6" borderId="0" xfId="0" applyNumberFormat="1" applyFont="1" applyFill="1"/>
    <xf numFmtId="0" fontId="24" fillId="6" borderId="0" xfId="0" applyFont="1" applyFill="1"/>
    <xf numFmtId="0" fontId="23" fillId="0" borderId="2" xfId="0" applyFont="1" applyBorder="1" applyAlignment="1">
      <alignment horizontal="left" vertical="center" wrapText="1"/>
    </xf>
    <xf numFmtId="4" fontId="23" fillId="0" borderId="2" xfId="4" applyNumberFormat="1" applyFont="1" applyFill="1" applyBorder="1" applyAlignment="1">
      <alignment horizontal="right" vertical="center" wrapText="1"/>
    </xf>
    <xf numFmtId="0" fontId="27" fillId="0" borderId="2" xfId="0" applyFont="1" applyBorder="1"/>
    <xf numFmtId="164" fontId="7" fillId="0" borderId="2" xfId="2" applyNumberFormat="1" applyFont="1" applyBorder="1"/>
    <xf numFmtId="43" fontId="19" fillId="0" borderId="5" xfId="1" applyFont="1" applyBorder="1"/>
    <xf numFmtId="43" fontId="19" fillId="0" borderId="5" xfId="1" applyFont="1" applyFill="1" applyBorder="1"/>
    <xf numFmtId="44" fontId="19" fillId="4" borderId="2" xfId="0" applyNumberFormat="1" applyFont="1" applyFill="1" applyBorder="1"/>
    <xf numFmtId="44" fontId="19" fillId="0" borderId="2" xfId="2" applyFont="1" applyBorder="1"/>
    <xf numFmtId="43" fontId="19" fillId="0" borderId="0" xfId="0" applyNumberFormat="1" applyFont="1"/>
    <xf numFmtId="0" fontId="9" fillId="2" borderId="2" xfId="0" applyFont="1" applyFill="1" applyBorder="1" applyAlignment="1">
      <alignment horizontal="center" vertical="center"/>
    </xf>
    <xf numFmtId="164" fontId="28" fillId="0" borderId="0" xfId="2" applyNumberFormat="1" applyFont="1" applyFill="1" applyBorder="1"/>
    <xf numFmtId="43" fontId="28" fillId="0" borderId="2" xfId="1" applyFont="1" applyFill="1" applyBorder="1"/>
    <xf numFmtId="4" fontId="30" fillId="0" borderId="2" xfId="4" applyNumberFormat="1" applyFont="1" applyFill="1" applyBorder="1" applyAlignment="1">
      <alignment horizontal="right" vertical="center" wrapText="1"/>
    </xf>
    <xf numFmtId="0" fontId="31" fillId="0" borderId="0" xfId="0" applyFont="1"/>
    <xf numFmtId="0" fontId="28" fillId="0" borderId="0" xfId="0" applyFont="1"/>
    <xf numFmtId="0" fontId="28" fillId="0" borderId="2" xfId="0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49" fontId="28" fillId="0" borderId="2" xfId="0" applyNumberFormat="1" applyFont="1" applyBorder="1"/>
    <xf numFmtId="0" fontId="30" fillId="0" borderId="2" xfId="0" applyFont="1" applyBorder="1" applyAlignment="1">
      <alignment horizontal="left" vertical="center" wrapText="1"/>
    </xf>
    <xf numFmtId="0" fontId="28" fillId="0" borderId="2" xfId="0" applyFont="1" applyBorder="1"/>
    <xf numFmtId="49" fontId="28" fillId="0" borderId="2" xfId="0" applyNumberFormat="1" applyFont="1" applyBorder="1" applyAlignment="1">
      <alignment wrapText="1"/>
    </xf>
    <xf numFmtId="4" fontId="28" fillId="0" borderId="0" xfId="0" applyNumberFormat="1" applyFont="1"/>
    <xf numFmtId="0" fontId="29" fillId="0" borderId="0" xfId="0" applyFont="1"/>
    <xf numFmtId="4" fontId="29" fillId="0" borderId="0" xfId="0" applyNumberFormat="1" applyFont="1"/>
    <xf numFmtId="43" fontId="28" fillId="0" borderId="0" xfId="0" applyNumberFormat="1" applyFont="1"/>
    <xf numFmtId="164" fontId="28" fillId="0" borderId="0" xfId="0" applyNumberFormat="1" applyFont="1"/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14" fontId="28" fillId="0" borderId="0" xfId="0" applyNumberFormat="1" applyFont="1" applyAlignment="1">
      <alignment horizontal="center"/>
    </xf>
    <xf numFmtId="14" fontId="28" fillId="0" borderId="2" xfId="0" applyNumberFormat="1" applyFont="1" applyBorder="1" applyAlignment="1">
      <alignment horizontal="center"/>
    </xf>
    <xf numFmtId="14" fontId="32" fillId="0" borderId="2" xfId="0" quotePrefix="1" applyNumberFormat="1" applyFont="1" applyBorder="1" applyAlignment="1">
      <alignment horizontal="center" vertical="center"/>
    </xf>
    <xf numFmtId="14" fontId="28" fillId="0" borderId="2" xfId="0" quotePrefix="1" applyNumberFormat="1" applyFont="1" applyBorder="1" applyAlignment="1">
      <alignment horizontal="center"/>
    </xf>
    <xf numFmtId="14" fontId="29" fillId="0" borderId="2" xfId="0" applyNumberFormat="1" applyFont="1" applyBorder="1" applyAlignment="1">
      <alignment horizontal="center"/>
    </xf>
    <xf numFmtId="164" fontId="29" fillId="0" borderId="2" xfId="2" applyNumberFormat="1" applyFont="1" applyFill="1" applyBorder="1"/>
    <xf numFmtId="0" fontId="29" fillId="0" borderId="4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</cellXfs>
  <cellStyles count="5">
    <cellStyle name="Millares" xfId="1" builtinId="3"/>
    <cellStyle name="Millares 2" xfId="4" xr:uid="{00000000-0005-0000-0000-000001000000}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afyp_armonizacion/reportes/2025/CUENTA%20PUBLICA/DEP%202025.xlsx" TargetMode="External"/><Relationship Id="rId1" Type="http://schemas.openxmlformats.org/officeDocument/2006/relationships/externalLinkPath" Target="/safyp_armonizacion/reportes/2025/CUENTA%20PUBLICA/DEP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LIZA 22"/>
      <sheetName val="ACTIVOS COMODAT"/>
      <sheetName val="DEPRECIACIONES ANUALES CALCULO "/>
      <sheetName val="DEPRECIACIONES ANUALES CTA PUB "/>
      <sheetName val="aux 23"/>
      <sheetName val="BALANZA 2022"/>
      <sheetName val="AUX 19 A 22"/>
      <sheetName val="CONCENTRADO AUXILIARES "/>
      <sheetName val="Hoja4"/>
      <sheetName val="Hoja1"/>
    </sheetNames>
    <sheetDataSet>
      <sheetData sheetId="0"/>
      <sheetData sheetId="1"/>
      <sheetData sheetId="2"/>
      <sheetData sheetId="3"/>
      <sheetData sheetId="4">
        <row r="9">
          <cell r="K9">
            <v>22997</v>
          </cell>
        </row>
        <row r="10">
          <cell r="K10">
            <v>13499</v>
          </cell>
        </row>
        <row r="11">
          <cell r="K11">
            <v>9999</v>
          </cell>
        </row>
        <row r="21">
          <cell r="K21">
            <v>1737041.15</v>
          </cell>
        </row>
      </sheetData>
      <sheetData sheetId="5">
        <row r="61">
          <cell r="W61">
            <v>20242363.34</v>
          </cell>
        </row>
        <row r="82">
          <cell r="W82">
            <v>230260</v>
          </cell>
          <cell r="X82">
            <v>20472623.34</v>
          </cell>
        </row>
        <row r="86">
          <cell r="X86">
            <v>19261674.009999998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F148"/>
  <sheetViews>
    <sheetView topLeftCell="M1" zoomScaleNormal="100" workbookViewId="0">
      <pane ySplit="5" topLeftCell="A113" activePane="bottomLeft" state="frozen"/>
      <selection activeCell="E1" sqref="E1"/>
      <selection pane="bottomLeft" activeCell="M88" sqref="M88"/>
    </sheetView>
  </sheetViews>
  <sheetFormatPr baseColWidth="10" defaultColWidth="11.44140625" defaultRowHeight="14.4" outlineLevelRow="1" outlineLevelCol="1" x14ac:dyDescent="0.3"/>
  <cols>
    <col min="1" max="1" width="8" style="1" hidden="1" customWidth="1"/>
    <col min="2" max="2" width="4.44140625" style="1" customWidth="1"/>
    <col min="3" max="4" width="4.109375" style="2" customWidth="1"/>
    <col min="5" max="7" width="4.5546875" style="2" customWidth="1"/>
    <col min="8" max="10" width="5.109375" style="2" customWidth="1"/>
    <col min="11" max="11" width="31.5546875" style="2" customWidth="1"/>
    <col min="12" max="12" width="24.44140625" style="2" hidden="1" customWidth="1"/>
    <col min="13" max="13" width="52.44140625" style="2" customWidth="1"/>
    <col min="14" max="15" width="17" style="2" bestFit="1" customWidth="1"/>
    <col min="16" max="16" width="15.88671875" style="3" bestFit="1" customWidth="1" outlineLevel="1"/>
    <col min="17" max="20" width="16.6640625" style="3" bestFit="1" customWidth="1" outlineLevel="1"/>
    <col min="21" max="21" width="16.6640625" style="3" bestFit="1" customWidth="1"/>
    <col min="22" max="22" width="13.6640625" style="3" bestFit="1" customWidth="1"/>
    <col min="23" max="23" width="13.5546875" style="2" bestFit="1" customWidth="1"/>
    <col min="24" max="24" width="9.5546875" style="2" customWidth="1"/>
    <col min="25" max="25" width="5.5546875" style="2" customWidth="1"/>
    <col min="26" max="26" width="12" style="2" hidden="1" customWidth="1" outlineLevel="1"/>
    <col min="27" max="27" width="13.5546875" style="2" hidden="1" customWidth="1" outlineLevel="1"/>
    <col min="28" max="28" width="15.109375" style="2" hidden="1" customWidth="1" outlineLevel="1"/>
    <col min="29" max="29" width="12.88671875" style="2" hidden="1" customWidth="1" outlineLevel="1"/>
    <col min="30" max="30" width="13.44140625" style="2" hidden="1" customWidth="1" outlineLevel="1"/>
    <col min="31" max="31" width="15.44140625" style="2" hidden="1" customWidth="1" outlineLevel="1"/>
    <col min="32" max="32" width="12.5546875" style="2" hidden="1" customWidth="1" outlineLevel="1"/>
    <col min="33" max="33" width="13.44140625" hidden="1" customWidth="1" outlineLevel="1"/>
    <col min="34" max="34" width="13.88671875" style="2" hidden="1" customWidth="1" outlineLevel="1"/>
    <col min="35" max="35" width="14" style="2" hidden="1" customWidth="1" outlineLevel="1"/>
    <col min="36" max="36" width="15.109375" style="2" hidden="1" customWidth="1" collapsed="1"/>
    <col min="37" max="37" width="15.88671875" style="2" hidden="1" customWidth="1"/>
    <col min="38" max="38" width="14.88671875" style="2" hidden="1" customWidth="1"/>
    <col min="39" max="39" width="15.88671875" style="2" hidden="1" customWidth="1"/>
    <col min="40" max="40" width="14.88671875" style="2" hidden="1" customWidth="1"/>
    <col min="41" max="41" width="15.88671875" style="2" hidden="1" customWidth="1"/>
    <col min="42" max="45" width="14.88671875" style="2" hidden="1" customWidth="1"/>
    <col min="46" max="48" width="19.44140625" style="2" hidden="1" customWidth="1"/>
    <col min="49" max="66" width="0" style="2" hidden="1" customWidth="1"/>
    <col min="67" max="16384" width="11.44140625" style="2"/>
  </cols>
  <sheetData>
    <row r="1" spans="1:58" x14ac:dyDescent="0.3">
      <c r="AT1" s="2" t="s">
        <v>0</v>
      </c>
    </row>
    <row r="2" spans="1:58" ht="17.399999999999999" x14ac:dyDescent="0.3"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P2" s="6"/>
      <c r="Q2" s="6"/>
      <c r="R2" s="6"/>
      <c r="S2" s="6"/>
      <c r="T2" s="6"/>
      <c r="U2" s="6"/>
      <c r="V2" s="6"/>
      <c r="W2" s="5"/>
      <c r="X2" s="5"/>
      <c r="Y2" s="5"/>
      <c r="Z2" s="7"/>
      <c r="AA2" s="5"/>
      <c r="AB2" s="5"/>
      <c r="AC2" s="5"/>
      <c r="AD2" s="5"/>
      <c r="AE2" s="5"/>
      <c r="AF2" s="5"/>
      <c r="AT2" s="5" t="s">
        <v>2</v>
      </c>
      <c r="AU2" s="8">
        <v>89.62</v>
      </c>
      <c r="AV2" s="8">
        <f>+AU2*70</f>
        <v>6273.4000000000005</v>
      </c>
    </row>
    <row r="3" spans="1:58" ht="19.5" customHeight="1" x14ac:dyDescent="0.3">
      <c r="B3" s="4" t="s">
        <v>3</v>
      </c>
      <c r="C3" s="4"/>
      <c r="D3" s="4"/>
      <c r="E3" s="5"/>
      <c r="F3" s="5"/>
      <c r="G3" s="5"/>
      <c r="H3" s="5"/>
      <c r="I3" s="5"/>
      <c r="J3" s="5"/>
      <c r="K3" s="5"/>
      <c r="L3" s="5"/>
      <c r="M3" s="5"/>
      <c r="P3" s="9"/>
      <c r="Q3" s="9"/>
      <c r="R3" s="9"/>
      <c r="S3" s="9"/>
      <c r="T3" s="9"/>
      <c r="U3" s="9"/>
      <c r="V3" s="9"/>
      <c r="W3" s="10"/>
      <c r="X3" s="10"/>
      <c r="Y3" s="5"/>
      <c r="Z3" s="5"/>
      <c r="AA3" s="5"/>
      <c r="AB3" s="5"/>
      <c r="AC3" s="5"/>
      <c r="AD3" s="5"/>
      <c r="AE3" s="5"/>
      <c r="AF3" s="5"/>
      <c r="AT3" s="5" t="s">
        <v>4</v>
      </c>
      <c r="AU3" s="8">
        <v>96.22</v>
      </c>
      <c r="AV3" s="8">
        <f>+AU3*70</f>
        <v>6735.4</v>
      </c>
    </row>
    <row r="4" spans="1:58" ht="23.4" x14ac:dyDescent="0.5">
      <c r="A4" s="11"/>
      <c r="B4" s="155" t="s">
        <v>5</v>
      </c>
      <c r="C4" s="155"/>
      <c r="D4" s="155"/>
      <c r="E4" s="156"/>
      <c r="F4" s="12"/>
      <c r="G4" s="12"/>
      <c r="H4" s="5"/>
      <c r="I4" s="5"/>
      <c r="J4" s="5"/>
      <c r="K4" s="157" t="s">
        <v>6</v>
      </c>
      <c r="L4" s="157"/>
      <c r="M4" s="157"/>
      <c r="N4" s="157"/>
      <c r="O4" s="126"/>
      <c r="P4" s="13"/>
      <c r="Q4" s="13"/>
      <c r="R4" s="13"/>
      <c r="S4" s="13"/>
      <c r="T4" s="13"/>
      <c r="U4" s="13"/>
      <c r="V4" s="13"/>
      <c r="W4" s="14"/>
      <c r="X4" s="14"/>
      <c r="Y4" s="15"/>
      <c r="Z4" s="16"/>
      <c r="AA4" s="16"/>
      <c r="AB4" s="16"/>
      <c r="AC4" s="16"/>
      <c r="AD4" s="17"/>
      <c r="AE4" s="17"/>
      <c r="AF4" s="17"/>
      <c r="AG4" s="16"/>
      <c r="AH4" s="17"/>
      <c r="AI4" s="17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 t="s">
        <v>7</v>
      </c>
      <c r="AX4" s="18" t="s">
        <v>8</v>
      </c>
      <c r="AY4" s="18" t="s">
        <v>9</v>
      </c>
      <c r="AZ4" s="18" t="s">
        <v>10</v>
      </c>
      <c r="BA4" s="18" t="s">
        <v>11</v>
      </c>
      <c r="BB4" s="18" t="s">
        <v>12</v>
      </c>
      <c r="BC4" s="18" t="s">
        <v>13</v>
      </c>
      <c r="BD4" s="18" t="s">
        <v>14</v>
      </c>
      <c r="BE4" s="18"/>
      <c r="BF4" s="18"/>
    </row>
    <row r="5" spans="1:58" s="27" customFormat="1" ht="42.75" customHeight="1" x14ac:dyDescent="0.3">
      <c r="A5" s="19" t="s">
        <v>15</v>
      </c>
      <c r="B5" s="19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0" t="s">
        <v>21</v>
      </c>
      <c r="H5" s="20" t="s">
        <v>22</v>
      </c>
      <c r="I5" s="20">
        <v>2024</v>
      </c>
      <c r="J5" s="20">
        <v>2025</v>
      </c>
      <c r="K5" s="21" t="s">
        <v>23</v>
      </c>
      <c r="L5" s="21" t="s">
        <v>24</v>
      </c>
      <c r="M5" s="21" t="s">
        <v>25</v>
      </c>
      <c r="N5" s="19" t="s">
        <v>26</v>
      </c>
      <c r="O5" s="19" t="s">
        <v>26</v>
      </c>
      <c r="P5" s="22" t="s">
        <v>27</v>
      </c>
      <c r="Q5" s="22" t="s">
        <v>28</v>
      </c>
      <c r="R5" s="22" t="s">
        <v>29</v>
      </c>
      <c r="S5" s="22" t="s">
        <v>30</v>
      </c>
      <c r="T5" s="22" t="s">
        <v>31</v>
      </c>
      <c r="U5" s="22" t="s">
        <v>32</v>
      </c>
      <c r="V5" s="19" t="s">
        <v>33</v>
      </c>
      <c r="W5" s="23" t="s">
        <v>34</v>
      </c>
      <c r="X5" s="23" t="s">
        <v>35</v>
      </c>
      <c r="Y5" s="24">
        <v>43435</v>
      </c>
      <c r="Z5" s="25" t="s">
        <v>36</v>
      </c>
      <c r="AA5" s="25" t="s">
        <v>37</v>
      </c>
      <c r="AB5" s="19" t="s">
        <v>38</v>
      </c>
      <c r="AC5" s="25" t="s">
        <v>39</v>
      </c>
      <c r="AD5" s="25" t="s">
        <v>40</v>
      </c>
      <c r="AE5" s="19" t="s">
        <v>41</v>
      </c>
      <c r="AF5" s="19" t="s">
        <v>42</v>
      </c>
      <c r="AG5" s="25" t="s">
        <v>43</v>
      </c>
      <c r="AH5" s="19" t="s">
        <v>44</v>
      </c>
      <c r="AI5" s="25" t="s">
        <v>45</v>
      </c>
      <c r="AJ5" s="25" t="s">
        <v>46</v>
      </c>
      <c r="AK5" s="25" t="s">
        <v>47</v>
      </c>
      <c r="AL5" s="25" t="s">
        <v>48</v>
      </c>
      <c r="AM5" s="25" t="s">
        <v>49</v>
      </c>
      <c r="AN5" s="25" t="s">
        <v>50</v>
      </c>
      <c r="AO5" s="25" t="s">
        <v>49</v>
      </c>
      <c r="AP5" s="25" t="s">
        <v>51</v>
      </c>
      <c r="AQ5" s="26" t="s">
        <v>52</v>
      </c>
      <c r="AR5" s="25" t="s">
        <v>53</v>
      </c>
      <c r="AS5" s="26" t="s">
        <v>54</v>
      </c>
      <c r="AW5" s="27" t="s">
        <v>43</v>
      </c>
      <c r="AX5" s="27" t="s">
        <v>45</v>
      </c>
      <c r="AY5" s="27" t="s">
        <v>47</v>
      </c>
      <c r="AZ5" s="27" t="s">
        <v>49</v>
      </c>
      <c r="BA5" s="27" t="s">
        <v>55</v>
      </c>
      <c r="BB5" s="27" t="s">
        <v>56</v>
      </c>
      <c r="BC5" s="27" t="s">
        <v>57</v>
      </c>
      <c r="BD5" s="27" t="s">
        <v>58</v>
      </c>
    </row>
    <row r="6" spans="1:58" ht="15" outlineLevel="1" x14ac:dyDescent="0.35">
      <c r="A6" s="28">
        <v>12413</v>
      </c>
      <c r="B6" s="28">
        <v>12</v>
      </c>
      <c r="C6" s="28" t="str">
        <f t="shared" ref="C6:C15" si="0">+Y6</f>
        <v>X</v>
      </c>
      <c r="D6" s="28"/>
      <c r="E6" s="29"/>
      <c r="F6" s="29"/>
      <c r="G6" s="29"/>
      <c r="H6" s="30"/>
      <c r="I6" s="30"/>
      <c r="J6" s="30"/>
      <c r="K6" s="31" t="s">
        <v>59</v>
      </c>
      <c r="L6" s="31"/>
      <c r="M6" s="31" t="s">
        <v>60</v>
      </c>
      <c r="N6" s="32">
        <v>27055.84</v>
      </c>
      <c r="O6" s="32">
        <v>27055.84</v>
      </c>
      <c r="P6" s="33">
        <f>+N6</f>
        <v>27055.84</v>
      </c>
      <c r="Q6" s="33"/>
      <c r="R6" s="33"/>
      <c r="S6" s="33"/>
      <c r="T6" s="33"/>
      <c r="U6" s="33"/>
      <c r="V6" s="28">
        <v>12633</v>
      </c>
      <c r="W6" s="34">
        <v>0.33329999999999999</v>
      </c>
      <c r="X6" s="29">
        <f t="shared" ref="X6:X18" si="1">+W6/12*1</f>
        <v>2.7774999999999998E-2</v>
      </c>
      <c r="Y6" s="28" t="s">
        <v>61</v>
      </c>
      <c r="Z6" s="35">
        <f t="shared" ref="Z6:Z15" si="2">+N6*X6*1</f>
        <v>751.47595599999988</v>
      </c>
      <c r="AA6" s="36">
        <f t="shared" ref="AA6:AA15" si="3">+$N6*$W6</f>
        <v>9017.711471999999</v>
      </c>
      <c r="AB6" s="37">
        <f t="shared" ref="AB6:AB15" si="4">+N6-AA6</f>
        <v>18038.128528000001</v>
      </c>
      <c r="AC6" s="36">
        <f>+$N6*$W6</f>
        <v>9017.711471999999</v>
      </c>
      <c r="AD6" s="38">
        <f t="shared" ref="AD6:AD15" si="5">+AA6+AC6+Z6</f>
        <v>18786.898899999997</v>
      </c>
      <c r="AE6" s="38">
        <f t="shared" ref="AE6:AE15" si="6">+N6-AD6</f>
        <v>8268.9411000000036</v>
      </c>
      <c r="AF6" s="38"/>
      <c r="AG6" s="38">
        <f>+AE6</f>
        <v>8268.9411000000036</v>
      </c>
      <c r="AH6" s="38">
        <f t="shared" ref="AH6:AH15" si="7">+AE6-AG6</f>
        <v>0</v>
      </c>
      <c r="AI6" s="38"/>
      <c r="AJ6" s="36">
        <f t="shared" ref="AJ6:AJ18" si="8">+AH6-AI6</f>
        <v>0</v>
      </c>
      <c r="AK6" s="36">
        <v>0</v>
      </c>
      <c r="AL6" s="36"/>
      <c r="AM6" s="36">
        <v>0</v>
      </c>
      <c r="AN6" s="36"/>
      <c r="AO6" s="36">
        <v>0</v>
      </c>
      <c r="AP6" s="36"/>
      <c r="AQ6" s="36">
        <f t="shared" ref="AQ6:AQ21" si="9">IF((+AP6*9)&gt;AN6,AN6,(+AP6*9))</f>
        <v>0</v>
      </c>
      <c r="AR6" s="36"/>
      <c r="AS6" s="39"/>
      <c r="AT6" s="40"/>
      <c r="AU6" s="40"/>
      <c r="AV6" s="40"/>
      <c r="AW6" s="40">
        <f t="shared" ref="AW6:AW15" si="10">+N6-Z6-AA6-AC6</f>
        <v>8268.9411000000036</v>
      </c>
    </row>
    <row r="7" spans="1:58" ht="15" outlineLevel="1" x14ac:dyDescent="0.35">
      <c r="A7" s="28">
        <v>12413</v>
      </c>
      <c r="B7" s="28">
        <v>12</v>
      </c>
      <c r="C7" s="28" t="str">
        <f t="shared" si="0"/>
        <v>X</v>
      </c>
      <c r="D7" s="28"/>
      <c r="E7" s="29"/>
      <c r="F7" s="29"/>
      <c r="G7" s="29"/>
      <c r="H7" s="30"/>
      <c r="I7" s="30"/>
      <c r="J7" s="30"/>
      <c r="K7" s="31" t="s">
        <v>62</v>
      </c>
      <c r="L7" s="31"/>
      <c r="M7" s="31" t="s">
        <v>60</v>
      </c>
      <c r="N7" s="32">
        <v>27055.84</v>
      </c>
      <c r="O7" s="32">
        <v>27055.84</v>
      </c>
      <c r="P7" s="33">
        <f t="shared" ref="P7:P15" si="11">+N7</f>
        <v>27055.84</v>
      </c>
      <c r="Q7" s="33"/>
      <c r="R7" s="33"/>
      <c r="S7" s="33"/>
      <c r="T7" s="33"/>
      <c r="U7" s="33"/>
      <c r="V7" s="28">
        <v>12633</v>
      </c>
      <c r="W7" s="34">
        <v>0.33329999999999999</v>
      </c>
      <c r="X7" s="29">
        <f t="shared" si="1"/>
        <v>2.7774999999999998E-2</v>
      </c>
      <c r="Y7" s="28" t="s">
        <v>61</v>
      </c>
      <c r="Z7" s="35">
        <f t="shared" si="2"/>
        <v>751.47595599999988</v>
      </c>
      <c r="AA7" s="36">
        <f t="shared" si="3"/>
        <v>9017.711471999999</v>
      </c>
      <c r="AB7" s="37">
        <f t="shared" si="4"/>
        <v>18038.128528000001</v>
      </c>
      <c r="AC7" s="36">
        <f t="shared" ref="AC7:AC14" si="12">+$N7*$W7</f>
        <v>9017.711471999999</v>
      </c>
      <c r="AD7" s="38">
        <f t="shared" si="5"/>
        <v>18786.898899999997</v>
      </c>
      <c r="AE7" s="38">
        <f t="shared" si="6"/>
        <v>8268.9411000000036</v>
      </c>
      <c r="AF7" s="38"/>
      <c r="AG7" s="38">
        <f t="shared" ref="AG7:AG15" si="13">+AE7</f>
        <v>8268.9411000000036</v>
      </c>
      <c r="AH7" s="38">
        <f t="shared" si="7"/>
        <v>0</v>
      </c>
      <c r="AI7" s="38"/>
      <c r="AJ7" s="36">
        <f t="shared" si="8"/>
        <v>0</v>
      </c>
      <c r="AK7" s="36">
        <v>0</v>
      </c>
      <c r="AL7" s="36"/>
      <c r="AM7" s="36">
        <v>0</v>
      </c>
      <c r="AN7" s="36"/>
      <c r="AO7" s="36">
        <v>0</v>
      </c>
      <c r="AP7" s="36"/>
      <c r="AQ7" s="36">
        <f t="shared" si="9"/>
        <v>0</v>
      </c>
      <c r="AR7" s="36"/>
      <c r="AS7" s="39"/>
      <c r="AT7" s="40"/>
      <c r="AU7" s="40"/>
      <c r="AV7" s="40"/>
      <c r="AW7" s="40">
        <f t="shared" si="10"/>
        <v>8268.9411000000036</v>
      </c>
    </row>
    <row r="8" spans="1:58" ht="15" outlineLevel="1" x14ac:dyDescent="0.35">
      <c r="A8" s="28">
        <v>12413</v>
      </c>
      <c r="B8" s="28">
        <v>12</v>
      </c>
      <c r="C8" s="28" t="str">
        <f t="shared" si="0"/>
        <v>X</v>
      </c>
      <c r="D8" s="28"/>
      <c r="E8" s="29"/>
      <c r="F8" s="29"/>
      <c r="G8" s="29"/>
      <c r="H8" s="30"/>
      <c r="I8" s="30"/>
      <c r="J8" s="30"/>
      <c r="K8" s="31" t="s">
        <v>63</v>
      </c>
      <c r="L8" s="31"/>
      <c r="M8" s="31" t="s">
        <v>64</v>
      </c>
      <c r="N8" s="32">
        <v>12582.52</v>
      </c>
      <c r="O8" s="32">
        <v>12582.52</v>
      </c>
      <c r="P8" s="33">
        <f t="shared" si="11"/>
        <v>12582.52</v>
      </c>
      <c r="Q8" s="33"/>
      <c r="R8" s="33"/>
      <c r="S8" s="33"/>
      <c r="T8" s="33"/>
      <c r="U8" s="33"/>
      <c r="V8" s="28">
        <v>12633</v>
      </c>
      <c r="W8" s="34">
        <v>0.33329999999999999</v>
      </c>
      <c r="X8" s="29">
        <f t="shared" si="1"/>
        <v>2.7774999999999998E-2</v>
      </c>
      <c r="Y8" s="28" t="s">
        <v>61</v>
      </c>
      <c r="Z8" s="35">
        <f t="shared" si="2"/>
        <v>349.47949299999999</v>
      </c>
      <c r="AA8" s="36">
        <f t="shared" si="3"/>
        <v>4193.7539159999997</v>
      </c>
      <c r="AB8" s="37">
        <f t="shared" si="4"/>
        <v>8388.7660840000008</v>
      </c>
      <c r="AC8" s="36">
        <f t="shared" si="12"/>
        <v>4193.7539159999997</v>
      </c>
      <c r="AD8" s="38">
        <f t="shared" si="5"/>
        <v>8736.9873250000001</v>
      </c>
      <c r="AE8" s="38">
        <f t="shared" si="6"/>
        <v>3845.5326750000004</v>
      </c>
      <c r="AF8" s="38"/>
      <c r="AG8" s="38">
        <f t="shared" si="13"/>
        <v>3845.5326750000004</v>
      </c>
      <c r="AH8" s="38">
        <f t="shared" si="7"/>
        <v>0</v>
      </c>
      <c r="AI8" s="38"/>
      <c r="AJ8" s="36">
        <f t="shared" si="8"/>
        <v>0</v>
      </c>
      <c r="AK8" s="36">
        <v>0</v>
      </c>
      <c r="AL8" s="36"/>
      <c r="AM8" s="36">
        <v>0</v>
      </c>
      <c r="AN8" s="36"/>
      <c r="AO8" s="36">
        <v>0</v>
      </c>
      <c r="AP8" s="36"/>
      <c r="AQ8" s="36">
        <f t="shared" si="9"/>
        <v>0</v>
      </c>
      <c r="AR8" s="36"/>
      <c r="AS8" s="39"/>
      <c r="AT8" s="40"/>
      <c r="AU8" s="40"/>
      <c r="AV8" s="40"/>
      <c r="AW8" s="40">
        <f t="shared" si="10"/>
        <v>3845.5326750000004</v>
      </c>
    </row>
    <row r="9" spans="1:58" ht="15" outlineLevel="1" x14ac:dyDescent="0.35">
      <c r="A9" s="28">
        <v>12413</v>
      </c>
      <c r="B9" s="28">
        <v>12</v>
      </c>
      <c r="C9" s="28" t="str">
        <f t="shared" si="0"/>
        <v>X</v>
      </c>
      <c r="D9" s="28"/>
      <c r="E9" s="29"/>
      <c r="F9" s="29"/>
      <c r="G9" s="29"/>
      <c r="H9" s="30"/>
      <c r="I9" s="30"/>
      <c r="J9" s="30"/>
      <c r="K9" s="31" t="s">
        <v>65</v>
      </c>
      <c r="L9" s="31"/>
      <c r="M9" s="31" t="s">
        <v>64</v>
      </c>
      <c r="N9" s="32">
        <v>12582.52</v>
      </c>
      <c r="O9" s="32">
        <v>12582.52</v>
      </c>
      <c r="P9" s="33">
        <f t="shared" si="11"/>
        <v>12582.52</v>
      </c>
      <c r="Q9" s="33"/>
      <c r="R9" s="33"/>
      <c r="S9" s="33"/>
      <c r="T9" s="33"/>
      <c r="U9" s="33"/>
      <c r="V9" s="28">
        <v>12633</v>
      </c>
      <c r="W9" s="34">
        <v>0.33329999999999999</v>
      </c>
      <c r="X9" s="29">
        <f t="shared" si="1"/>
        <v>2.7774999999999998E-2</v>
      </c>
      <c r="Y9" s="28" t="s">
        <v>61</v>
      </c>
      <c r="Z9" s="35">
        <f t="shared" si="2"/>
        <v>349.47949299999999</v>
      </c>
      <c r="AA9" s="36">
        <f t="shared" si="3"/>
        <v>4193.7539159999997</v>
      </c>
      <c r="AB9" s="37">
        <f t="shared" si="4"/>
        <v>8388.7660840000008</v>
      </c>
      <c r="AC9" s="36">
        <f t="shared" si="12"/>
        <v>4193.7539159999997</v>
      </c>
      <c r="AD9" s="38">
        <f t="shared" si="5"/>
        <v>8736.9873250000001</v>
      </c>
      <c r="AE9" s="38">
        <f t="shared" si="6"/>
        <v>3845.5326750000004</v>
      </c>
      <c r="AF9" s="38"/>
      <c r="AG9" s="38">
        <f t="shared" si="13"/>
        <v>3845.5326750000004</v>
      </c>
      <c r="AH9" s="38">
        <f t="shared" si="7"/>
        <v>0</v>
      </c>
      <c r="AI9" s="38"/>
      <c r="AJ9" s="36">
        <f t="shared" si="8"/>
        <v>0</v>
      </c>
      <c r="AK9" s="36">
        <v>0</v>
      </c>
      <c r="AL9" s="36"/>
      <c r="AM9" s="36">
        <v>0</v>
      </c>
      <c r="AN9" s="36"/>
      <c r="AO9" s="36">
        <v>0</v>
      </c>
      <c r="AP9" s="36"/>
      <c r="AQ9" s="36">
        <f t="shared" si="9"/>
        <v>0</v>
      </c>
      <c r="AR9" s="36"/>
      <c r="AS9" s="39"/>
      <c r="AT9" s="40"/>
      <c r="AU9" s="40"/>
      <c r="AV9" s="40"/>
      <c r="AW9" s="40">
        <f t="shared" si="10"/>
        <v>3845.5326750000004</v>
      </c>
    </row>
    <row r="10" spans="1:58" ht="15" outlineLevel="1" x14ac:dyDescent="0.35">
      <c r="A10" s="28">
        <v>12413</v>
      </c>
      <c r="B10" s="28">
        <v>12</v>
      </c>
      <c r="C10" s="28" t="str">
        <f t="shared" si="0"/>
        <v>X</v>
      </c>
      <c r="D10" s="28"/>
      <c r="E10" s="29"/>
      <c r="F10" s="29"/>
      <c r="G10" s="29"/>
      <c r="H10" s="30"/>
      <c r="I10" s="30"/>
      <c r="J10" s="30"/>
      <c r="K10" s="31" t="s">
        <v>66</v>
      </c>
      <c r="L10" s="31"/>
      <c r="M10" s="31" t="s">
        <v>64</v>
      </c>
      <c r="N10" s="32">
        <v>12582.52</v>
      </c>
      <c r="O10" s="32">
        <v>12582.52</v>
      </c>
      <c r="P10" s="33">
        <f t="shared" si="11"/>
        <v>12582.52</v>
      </c>
      <c r="Q10" s="33"/>
      <c r="R10" s="33"/>
      <c r="S10" s="33"/>
      <c r="T10" s="33"/>
      <c r="U10" s="33"/>
      <c r="V10" s="28">
        <v>12633</v>
      </c>
      <c r="W10" s="34">
        <v>0.33329999999999999</v>
      </c>
      <c r="X10" s="29">
        <f t="shared" si="1"/>
        <v>2.7774999999999998E-2</v>
      </c>
      <c r="Y10" s="28" t="s">
        <v>61</v>
      </c>
      <c r="Z10" s="35">
        <f t="shared" si="2"/>
        <v>349.47949299999999</v>
      </c>
      <c r="AA10" s="36">
        <f t="shared" si="3"/>
        <v>4193.7539159999997</v>
      </c>
      <c r="AB10" s="37">
        <f t="shared" si="4"/>
        <v>8388.7660840000008</v>
      </c>
      <c r="AC10" s="36">
        <f t="shared" si="12"/>
        <v>4193.7539159999997</v>
      </c>
      <c r="AD10" s="38">
        <f t="shared" si="5"/>
        <v>8736.9873250000001</v>
      </c>
      <c r="AE10" s="38">
        <f t="shared" si="6"/>
        <v>3845.5326750000004</v>
      </c>
      <c r="AF10" s="38"/>
      <c r="AG10" s="38">
        <f t="shared" si="13"/>
        <v>3845.5326750000004</v>
      </c>
      <c r="AH10" s="38">
        <f t="shared" si="7"/>
        <v>0</v>
      </c>
      <c r="AI10" s="38"/>
      <c r="AJ10" s="36">
        <f t="shared" si="8"/>
        <v>0</v>
      </c>
      <c r="AK10" s="36">
        <v>0</v>
      </c>
      <c r="AL10" s="36"/>
      <c r="AM10" s="36">
        <v>0</v>
      </c>
      <c r="AN10" s="36"/>
      <c r="AO10" s="36">
        <v>0</v>
      </c>
      <c r="AP10" s="36"/>
      <c r="AQ10" s="36">
        <f t="shared" si="9"/>
        <v>0</v>
      </c>
      <c r="AR10" s="36"/>
      <c r="AS10" s="39"/>
      <c r="AT10" s="40"/>
      <c r="AU10" s="40"/>
      <c r="AV10" s="40"/>
      <c r="AW10" s="40">
        <f t="shared" si="10"/>
        <v>3845.5326750000004</v>
      </c>
    </row>
    <row r="11" spans="1:58" ht="15" outlineLevel="1" x14ac:dyDescent="0.35">
      <c r="A11" s="28">
        <v>12413</v>
      </c>
      <c r="B11" s="28">
        <v>12</v>
      </c>
      <c r="C11" s="28" t="str">
        <f t="shared" si="0"/>
        <v>X</v>
      </c>
      <c r="D11" s="28"/>
      <c r="E11" s="29"/>
      <c r="F11" s="29"/>
      <c r="G11" s="29"/>
      <c r="H11" s="30"/>
      <c r="I11" s="30"/>
      <c r="J11" s="30"/>
      <c r="K11" s="31" t="s">
        <v>67</v>
      </c>
      <c r="L11" s="31"/>
      <c r="M11" s="31" t="s">
        <v>64</v>
      </c>
      <c r="N11" s="32">
        <v>12582.52</v>
      </c>
      <c r="O11" s="32">
        <v>12582.52</v>
      </c>
      <c r="P11" s="33">
        <f t="shared" si="11"/>
        <v>12582.52</v>
      </c>
      <c r="Q11" s="33"/>
      <c r="R11" s="33"/>
      <c r="S11" s="33"/>
      <c r="T11" s="33"/>
      <c r="U11" s="33"/>
      <c r="V11" s="28">
        <v>12633</v>
      </c>
      <c r="W11" s="34">
        <v>0.33329999999999999</v>
      </c>
      <c r="X11" s="29">
        <f t="shared" si="1"/>
        <v>2.7774999999999998E-2</v>
      </c>
      <c r="Y11" s="28" t="s">
        <v>61</v>
      </c>
      <c r="Z11" s="35">
        <f t="shared" si="2"/>
        <v>349.47949299999999</v>
      </c>
      <c r="AA11" s="36">
        <f t="shared" si="3"/>
        <v>4193.7539159999997</v>
      </c>
      <c r="AB11" s="37">
        <f t="shared" si="4"/>
        <v>8388.7660840000008</v>
      </c>
      <c r="AC11" s="36">
        <f t="shared" si="12"/>
        <v>4193.7539159999997</v>
      </c>
      <c r="AD11" s="38">
        <f t="shared" si="5"/>
        <v>8736.9873250000001</v>
      </c>
      <c r="AE11" s="38">
        <f t="shared" si="6"/>
        <v>3845.5326750000004</v>
      </c>
      <c r="AF11" s="38"/>
      <c r="AG11" s="38">
        <f t="shared" si="13"/>
        <v>3845.5326750000004</v>
      </c>
      <c r="AH11" s="38">
        <f t="shared" si="7"/>
        <v>0</v>
      </c>
      <c r="AI11" s="38"/>
      <c r="AJ11" s="36">
        <f t="shared" si="8"/>
        <v>0</v>
      </c>
      <c r="AK11" s="36">
        <v>0</v>
      </c>
      <c r="AL11" s="36"/>
      <c r="AM11" s="36">
        <v>0</v>
      </c>
      <c r="AN11" s="36"/>
      <c r="AO11" s="36">
        <v>0</v>
      </c>
      <c r="AP11" s="36"/>
      <c r="AQ11" s="36">
        <f t="shared" si="9"/>
        <v>0</v>
      </c>
      <c r="AR11" s="36"/>
      <c r="AS11" s="39"/>
      <c r="AT11" s="40"/>
      <c r="AU11" s="40"/>
      <c r="AV11" s="40"/>
      <c r="AW11" s="40">
        <f t="shared" si="10"/>
        <v>3845.5326750000004</v>
      </c>
    </row>
    <row r="12" spans="1:58" ht="15" outlineLevel="1" x14ac:dyDescent="0.35">
      <c r="A12" s="28">
        <v>12413</v>
      </c>
      <c r="B12" s="28">
        <v>12</v>
      </c>
      <c r="C12" s="28" t="str">
        <f t="shared" si="0"/>
        <v>X</v>
      </c>
      <c r="D12" s="28"/>
      <c r="E12" s="29"/>
      <c r="F12" s="29"/>
      <c r="G12" s="29"/>
      <c r="H12" s="30"/>
      <c r="I12" s="30"/>
      <c r="J12" s="30"/>
      <c r="K12" s="31" t="s">
        <v>68</v>
      </c>
      <c r="L12" s="31"/>
      <c r="M12" s="31" t="s">
        <v>64</v>
      </c>
      <c r="N12" s="32">
        <v>12582.52</v>
      </c>
      <c r="O12" s="32">
        <v>12582.52</v>
      </c>
      <c r="P12" s="33">
        <f t="shared" si="11"/>
        <v>12582.52</v>
      </c>
      <c r="Q12" s="33"/>
      <c r="R12" s="33"/>
      <c r="S12" s="33"/>
      <c r="T12" s="33"/>
      <c r="U12" s="33"/>
      <c r="V12" s="28">
        <v>12633</v>
      </c>
      <c r="W12" s="34">
        <v>0.33329999999999999</v>
      </c>
      <c r="X12" s="29">
        <f t="shared" si="1"/>
        <v>2.7774999999999998E-2</v>
      </c>
      <c r="Y12" s="28" t="s">
        <v>61</v>
      </c>
      <c r="Z12" s="35">
        <f t="shared" si="2"/>
        <v>349.47949299999999</v>
      </c>
      <c r="AA12" s="36">
        <f t="shared" si="3"/>
        <v>4193.7539159999997</v>
      </c>
      <c r="AB12" s="37">
        <f t="shared" si="4"/>
        <v>8388.7660840000008</v>
      </c>
      <c r="AC12" s="36">
        <f t="shared" si="12"/>
        <v>4193.7539159999997</v>
      </c>
      <c r="AD12" s="38">
        <f t="shared" si="5"/>
        <v>8736.9873250000001</v>
      </c>
      <c r="AE12" s="38">
        <f t="shared" si="6"/>
        <v>3845.5326750000004</v>
      </c>
      <c r="AF12" s="38"/>
      <c r="AG12" s="38">
        <f t="shared" si="13"/>
        <v>3845.5326750000004</v>
      </c>
      <c r="AH12" s="38">
        <f t="shared" si="7"/>
        <v>0</v>
      </c>
      <c r="AI12" s="38"/>
      <c r="AJ12" s="36">
        <f t="shared" si="8"/>
        <v>0</v>
      </c>
      <c r="AK12" s="36">
        <v>0</v>
      </c>
      <c r="AL12" s="36"/>
      <c r="AM12" s="36">
        <v>0</v>
      </c>
      <c r="AN12" s="36"/>
      <c r="AO12" s="36">
        <v>0</v>
      </c>
      <c r="AP12" s="36"/>
      <c r="AQ12" s="36">
        <f t="shared" si="9"/>
        <v>0</v>
      </c>
      <c r="AR12" s="36"/>
      <c r="AS12" s="39"/>
      <c r="AT12" s="40"/>
      <c r="AU12" s="40"/>
      <c r="AV12" s="40"/>
      <c r="AW12" s="40">
        <f t="shared" si="10"/>
        <v>3845.5326750000004</v>
      </c>
    </row>
    <row r="13" spans="1:58" ht="15" outlineLevel="1" x14ac:dyDescent="0.35">
      <c r="A13" s="28">
        <v>12413</v>
      </c>
      <c r="B13" s="28">
        <v>12</v>
      </c>
      <c r="C13" s="28" t="str">
        <f t="shared" si="0"/>
        <v>X</v>
      </c>
      <c r="D13" s="28"/>
      <c r="E13" s="29"/>
      <c r="F13" s="29"/>
      <c r="G13" s="29"/>
      <c r="H13" s="30"/>
      <c r="I13" s="30"/>
      <c r="J13" s="30"/>
      <c r="K13" s="31" t="s">
        <v>69</v>
      </c>
      <c r="L13" s="31"/>
      <c r="M13" s="31" t="s">
        <v>64</v>
      </c>
      <c r="N13" s="32">
        <v>12582.52</v>
      </c>
      <c r="O13" s="32">
        <v>12582.52</v>
      </c>
      <c r="P13" s="33">
        <f t="shared" si="11"/>
        <v>12582.52</v>
      </c>
      <c r="Q13" s="33"/>
      <c r="R13" s="33"/>
      <c r="S13" s="33"/>
      <c r="T13" s="33"/>
      <c r="U13" s="33"/>
      <c r="V13" s="28">
        <v>12633</v>
      </c>
      <c r="W13" s="34">
        <v>0.33329999999999999</v>
      </c>
      <c r="X13" s="29">
        <f t="shared" si="1"/>
        <v>2.7774999999999998E-2</v>
      </c>
      <c r="Y13" s="28" t="s">
        <v>61</v>
      </c>
      <c r="Z13" s="35">
        <f t="shared" si="2"/>
        <v>349.47949299999999</v>
      </c>
      <c r="AA13" s="36">
        <f t="shared" si="3"/>
        <v>4193.7539159999997</v>
      </c>
      <c r="AB13" s="37">
        <f t="shared" si="4"/>
        <v>8388.7660840000008</v>
      </c>
      <c r="AC13" s="36">
        <f t="shared" si="12"/>
        <v>4193.7539159999997</v>
      </c>
      <c r="AD13" s="38">
        <f t="shared" si="5"/>
        <v>8736.9873250000001</v>
      </c>
      <c r="AE13" s="38">
        <f t="shared" si="6"/>
        <v>3845.5326750000004</v>
      </c>
      <c r="AF13" s="38"/>
      <c r="AG13" s="38">
        <f t="shared" si="13"/>
        <v>3845.5326750000004</v>
      </c>
      <c r="AH13" s="38">
        <f t="shared" si="7"/>
        <v>0</v>
      </c>
      <c r="AI13" s="38"/>
      <c r="AJ13" s="36">
        <f t="shared" si="8"/>
        <v>0</v>
      </c>
      <c r="AK13" s="36">
        <v>0</v>
      </c>
      <c r="AL13" s="36"/>
      <c r="AM13" s="36">
        <v>0</v>
      </c>
      <c r="AN13" s="36"/>
      <c r="AO13" s="36">
        <v>0</v>
      </c>
      <c r="AP13" s="36"/>
      <c r="AQ13" s="36">
        <f t="shared" si="9"/>
        <v>0</v>
      </c>
      <c r="AR13" s="36"/>
      <c r="AS13" s="39"/>
      <c r="AT13" s="40"/>
      <c r="AU13" s="40"/>
      <c r="AV13" s="40"/>
      <c r="AW13" s="40">
        <f t="shared" si="10"/>
        <v>3845.5326750000004</v>
      </c>
    </row>
    <row r="14" spans="1:58" ht="15" outlineLevel="1" x14ac:dyDescent="0.35">
      <c r="A14" s="28">
        <v>12413</v>
      </c>
      <c r="B14" s="28">
        <v>12</v>
      </c>
      <c r="C14" s="28" t="str">
        <f t="shared" si="0"/>
        <v>X</v>
      </c>
      <c r="D14" s="28"/>
      <c r="E14" s="29"/>
      <c r="F14" s="29"/>
      <c r="G14" s="29"/>
      <c r="H14" s="30"/>
      <c r="I14" s="30"/>
      <c r="J14" s="30"/>
      <c r="K14" s="31" t="s">
        <v>70</v>
      </c>
      <c r="L14" s="31"/>
      <c r="M14" s="31" t="s">
        <v>64</v>
      </c>
      <c r="N14" s="32">
        <v>12582.52</v>
      </c>
      <c r="O14" s="32">
        <v>12582.52</v>
      </c>
      <c r="P14" s="33">
        <f t="shared" si="11"/>
        <v>12582.52</v>
      </c>
      <c r="Q14" s="33"/>
      <c r="R14" s="33"/>
      <c r="S14" s="33"/>
      <c r="T14" s="33"/>
      <c r="U14" s="33"/>
      <c r="V14" s="28">
        <v>12633</v>
      </c>
      <c r="W14" s="34">
        <v>0.33329999999999999</v>
      </c>
      <c r="X14" s="29">
        <f t="shared" si="1"/>
        <v>2.7774999999999998E-2</v>
      </c>
      <c r="Y14" s="28" t="s">
        <v>61</v>
      </c>
      <c r="Z14" s="35">
        <f t="shared" si="2"/>
        <v>349.47949299999999</v>
      </c>
      <c r="AA14" s="36">
        <f t="shared" si="3"/>
        <v>4193.7539159999997</v>
      </c>
      <c r="AB14" s="37">
        <f t="shared" si="4"/>
        <v>8388.7660840000008</v>
      </c>
      <c r="AC14" s="36">
        <f t="shared" si="12"/>
        <v>4193.7539159999997</v>
      </c>
      <c r="AD14" s="38">
        <f t="shared" si="5"/>
        <v>8736.9873250000001</v>
      </c>
      <c r="AE14" s="38">
        <f t="shared" si="6"/>
        <v>3845.5326750000004</v>
      </c>
      <c r="AF14" s="38"/>
      <c r="AG14" s="38">
        <f t="shared" si="13"/>
        <v>3845.5326750000004</v>
      </c>
      <c r="AH14" s="38">
        <f t="shared" si="7"/>
        <v>0</v>
      </c>
      <c r="AI14" s="38"/>
      <c r="AJ14" s="36">
        <f t="shared" si="8"/>
        <v>0</v>
      </c>
      <c r="AK14" s="36">
        <v>0</v>
      </c>
      <c r="AL14" s="36"/>
      <c r="AM14" s="36">
        <v>0</v>
      </c>
      <c r="AN14" s="36"/>
      <c r="AO14" s="36">
        <v>0</v>
      </c>
      <c r="AP14" s="36"/>
      <c r="AQ14" s="36">
        <f t="shared" si="9"/>
        <v>0</v>
      </c>
      <c r="AR14" s="36"/>
      <c r="AS14" s="39"/>
      <c r="AT14" s="40"/>
      <c r="AU14" s="40"/>
      <c r="AV14" s="40"/>
      <c r="AW14" s="40">
        <f t="shared" si="10"/>
        <v>3845.5326750000004</v>
      </c>
    </row>
    <row r="15" spans="1:58" ht="15" outlineLevel="1" x14ac:dyDescent="0.35">
      <c r="A15" s="28">
        <v>12413</v>
      </c>
      <c r="B15" s="28">
        <v>12</v>
      </c>
      <c r="C15" s="28" t="str">
        <f t="shared" si="0"/>
        <v>X</v>
      </c>
      <c r="D15" s="28"/>
      <c r="E15" s="29"/>
      <c r="F15" s="29"/>
      <c r="G15" s="29"/>
      <c r="H15" s="41"/>
      <c r="I15" s="41"/>
      <c r="J15" s="41"/>
      <c r="K15" s="42" t="s">
        <v>71</v>
      </c>
      <c r="L15" s="42"/>
      <c r="M15" s="42" t="s">
        <v>72</v>
      </c>
      <c r="N15" s="32">
        <v>3521.76</v>
      </c>
      <c r="O15" s="32">
        <v>3521.76</v>
      </c>
      <c r="P15" s="33">
        <f t="shared" si="11"/>
        <v>3521.76</v>
      </c>
      <c r="Q15" s="33"/>
      <c r="R15" s="43"/>
      <c r="S15" s="43"/>
      <c r="T15" s="43"/>
      <c r="U15" s="43"/>
      <c r="V15" s="44">
        <v>12633</v>
      </c>
      <c r="W15" s="45">
        <v>0.33329999999999999</v>
      </c>
      <c r="X15" s="46">
        <f t="shared" si="1"/>
        <v>2.7774999999999998E-2</v>
      </c>
      <c r="Y15" s="44" t="s">
        <v>61</v>
      </c>
      <c r="Z15" s="47">
        <f t="shared" si="2"/>
        <v>97.816884000000002</v>
      </c>
      <c r="AA15" s="48">
        <f t="shared" si="3"/>
        <v>1173.802608</v>
      </c>
      <c r="AB15" s="37">
        <f t="shared" si="4"/>
        <v>2347.9573920000003</v>
      </c>
      <c r="AC15" s="48">
        <f>+$N15*$W15</f>
        <v>1173.802608</v>
      </c>
      <c r="AD15" s="38">
        <f t="shared" si="5"/>
        <v>2445.4220999999998</v>
      </c>
      <c r="AE15" s="38">
        <f t="shared" si="6"/>
        <v>1076.3379000000004</v>
      </c>
      <c r="AF15" s="38"/>
      <c r="AG15" s="38">
        <f t="shared" si="13"/>
        <v>1076.3379000000004</v>
      </c>
      <c r="AH15" s="38">
        <f t="shared" si="7"/>
        <v>0</v>
      </c>
      <c r="AI15" s="38"/>
      <c r="AJ15" s="36">
        <f t="shared" si="8"/>
        <v>0</v>
      </c>
      <c r="AK15" s="36">
        <v>0</v>
      </c>
      <c r="AL15" s="36"/>
      <c r="AM15" s="36">
        <v>0</v>
      </c>
      <c r="AN15" s="36"/>
      <c r="AO15" s="36">
        <v>0</v>
      </c>
      <c r="AP15" s="36"/>
      <c r="AQ15" s="36">
        <f t="shared" si="9"/>
        <v>0</v>
      </c>
      <c r="AR15" s="36"/>
      <c r="AS15" s="39"/>
      <c r="AT15" s="40"/>
      <c r="AU15" s="40"/>
      <c r="AV15" s="40"/>
      <c r="AW15" s="40">
        <f t="shared" si="10"/>
        <v>1076.3379000000004</v>
      </c>
    </row>
    <row r="16" spans="1:58" ht="22.8" outlineLevel="1" x14ac:dyDescent="0.35">
      <c r="A16" s="28">
        <v>12413</v>
      </c>
      <c r="B16" s="28">
        <v>2</v>
      </c>
      <c r="C16" s="29"/>
      <c r="D16" s="28"/>
      <c r="E16" s="29"/>
      <c r="F16" s="28" t="s">
        <v>61</v>
      </c>
      <c r="G16" s="29"/>
      <c r="H16" s="30"/>
      <c r="I16" s="30"/>
      <c r="J16" s="30"/>
      <c r="K16" s="49"/>
      <c r="L16" s="49"/>
      <c r="M16" s="50" t="s">
        <v>73</v>
      </c>
      <c r="N16" s="32">
        <f>23926.9*1.16</f>
        <v>27755.204000000002</v>
      </c>
      <c r="O16" s="32">
        <v>27755.204000000002</v>
      </c>
      <c r="P16" s="33"/>
      <c r="Q16" s="33"/>
      <c r="R16" s="33"/>
      <c r="S16" s="33">
        <f>+N16</f>
        <v>27755.204000000002</v>
      </c>
      <c r="T16" s="33"/>
      <c r="U16" s="33"/>
      <c r="V16" s="28">
        <v>12633</v>
      </c>
      <c r="W16" s="34">
        <v>0.33329999999999999</v>
      </c>
      <c r="X16" s="29">
        <f t="shared" si="1"/>
        <v>2.7774999999999998E-2</v>
      </c>
      <c r="Y16" s="29"/>
      <c r="Z16" s="35"/>
      <c r="AA16" s="36"/>
      <c r="AB16" s="37"/>
      <c r="AC16" s="36"/>
      <c r="AD16" s="38"/>
      <c r="AE16" s="38"/>
      <c r="AF16" s="51">
        <v>10</v>
      </c>
      <c r="AG16" s="36">
        <f>+N16*W16/12*AF16</f>
        <v>7709.0079109999997</v>
      </c>
      <c r="AH16" s="38">
        <f>+N16-AG16</f>
        <v>20046.196089000001</v>
      </c>
      <c r="AI16" s="38">
        <v>6615.24</v>
      </c>
      <c r="AJ16" s="36">
        <f t="shared" si="8"/>
        <v>13430.956089000001</v>
      </c>
      <c r="AK16" s="52">
        <f>+N16*W16</f>
        <v>9250.8094932000004</v>
      </c>
      <c r="AL16" s="52">
        <f>+AJ16-AK16</f>
        <v>4180.1465958000008</v>
      </c>
      <c r="AM16" s="52">
        <v>4180.1499999999996</v>
      </c>
      <c r="AN16" s="52">
        <f t="shared" ref="AN16:AN22" si="14">+AL16-AM16</f>
        <v>-3.4041999988403404E-3</v>
      </c>
      <c r="AO16" s="52">
        <v>4180.1499999999996</v>
      </c>
      <c r="AP16" s="52">
        <f>+X16*N16</f>
        <v>770.90079109999999</v>
      </c>
      <c r="AQ16" s="36">
        <f t="shared" si="9"/>
        <v>-3.4041999988403404E-3</v>
      </c>
      <c r="AR16" s="52">
        <f>+AN16-AQ16</f>
        <v>0</v>
      </c>
      <c r="AS16" s="53"/>
      <c r="AT16" s="8" t="s">
        <v>74</v>
      </c>
      <c r="AU16" s="8">
        <f>+AP16*2</f>
        <v>1541.8015822</v>
      </c>
      <c r="AV16" s="8"/>
    </row>
    <row r="17" spans="1:49" ht="22.8" outlineLevel="1" x14ac:dyDescent="0.35">
      <c r="A17" s="28">
        <v>12413</v>
      </c>
      <c r="B17" s="28">
        <v>2</v>
      </c>
      <c r="C17" s="29"/>
      <c r="D17" s="28"/>
      <c r="E17" s="29"/>
      <c r="F17" s="28" t="s">
        <v>61</v>
      </c>
      <c r="G17" s="29"/>
      <c r="H17" s="30"/>
      <c r="I17" s="30"/>
      <c r="J17" s="30"/>
      <c r="K17" s="49"/>
      <c r="L17" s="49"/>
      <c r="M17" s="50" t="s">
        <v>75</v>
      </c>
      <c r="N17" s="32">
        <f>23926.9*1.16</f>
        <v>27755.204000000002</v>
      </c>
      <c r="O17" s="32">
        <v>27755.204000000002</v>
      </c>
      <c r="P17" s="33"/>
      <c r="Q17" s="33"/>
      <c r="R17" s="33"/>
      <c r="S17" s="33">
        <f>+N17</f>
        <v>27755.204000000002</v>
      </c>
      <c r="T17" s="33"/>
      <c r="U17" s="33"/>
      <c r="V17" s="28">
        <v>12633</v>
      </c>
      <c r="W17" s="34">
        <v>0.33329999999999999</v>
      </c>
      <c r="X17" s="29">
        <f t="shared" si="1"/>
        <v>2.7774999999999998E-2</v>
      </c>
      <c r="Y17" s="29"/>
      <c r="Z17" s="35"/>
      <c r="AA17" s="36"/>
      <c r="AB17" s="37"/>
      <c r="AC17" s="36"/>
      <c r="AD17" s="38"/>
      <c r="AE17" s="38"/>
      <c r="AF17" s="51">
        <v>10</v>
      </c>
      <c r="AG17" s="36">
        <f>+N17*W17/12*AF17</f>
        <v>7709.0079109999997</v>
      </c>
      <c r="AH17" s="38">
        <f>+N17-AG17</f>
        <v>20046.196089000001</v>
      </c>
      <c r="AI17" s="38">
        <v>6615.24</v>
      </c>
      <c r="AJ17" s="36">
        <f t="shared" si="8"/>
        <v>13430.956089000001</v>
      </c>
      <c r="AK17" s="52">
        <f>+N17*W17</f>
        <v>9250.8094932000004</v>
      </c>
      <c r="AL17" s="52">
        <f>+AJ17-AK17</f>
        <v>4180.1465958000008</v>
      </c>
      <c r="AM17" s="52">
        <v>4180.1499999999996</v>
      </c>
      <c r="AN17" s="52">
        <f t="shared" si="14"/>
        <v>-3.4041999988403404E-3</v>
      </c>
      <c r="AO17" s="52">
        <v>4180.1499999999996</v>
      </c>
      <c r="AP17" s="52">
        <f>+X17*N17</f>
        <v>770.90079109999999</v>
      </c>
      <c r="AQ17" s="36">
        <f t="shared" si="9"/>
        <v>-3.4041999988403404E-3</v>
      </c>
      <c r="AR17" s="52">
        <f t="shared" ref="AR17:AR80" si="15">+AN17-AQ17</f>
        <v>0</v>
      </c>
      <c r="AS17" s="53"/>
      <c r="AT17" s="8" t="s">
        <v>74</v>
      </c>
      <c r="AU17" s="8"/>
      <c r="AV17" s="8"/>
    </row>
    <row r="18" spans="1:49" ht="22.8" outlineLevel="1" x14ac:dyDescent="0.35">
      <c r="A18" s="28">
        <v>12413</v>
      </c>
      <c r="B18" s="28">
        <v>2</v>
      </c>
      <c r="C18" s="29"/>
      <c r="D18" s="28"/>
      <c r="E18" s="29"/>
      <c r="F18" s="28" t="s">
        <v>61</v>
      </c>
      <c r="G18" s="29"/>
      <c r="H18" s="30"/>
      <c r="I18" s="30"/>
      <c r="J18" s="30"/>
      <c r="K18" s="49"/>
      <c r="L18" s="49"/>
      <c r="M18" s="50" t="s">
        <v>76</v>
      </c>
      <c r="N18" s="32">
        <f>23926.9*1.16</f>
        <v>27755.204000000002</v>
      </c>
      <c r="O18" s="32">
        <v>27755.204000000002</v>
      </c>
      <c r="P18" s="33"/>
      <c r="Q18" s="33"/>
      <c r="R18" s="33"/>
      <c r="S18" s="33">
        <f>+N18</f>
        <v>27755.204000000002</v>
      </c>
      <c r="T18" s="33"/>
      <c r="U18" s="33"/>
      <c r="V18" s="28">
        <v>12633</v>
      </c>
      <c r="W18" s="34">
        <v>0.33329999999999999</v>
      </c>
      <c r="X18" s="29">
        <f t="shared" si="1"/>
        <v>2.7774999999999998E-2</v>
      </c>
      <c r="Y18" s="29"/>
      <c r="Z18" s="35"/>
      <c r="AA18" s="36"/>
      <c r="AB18" s="37"/>
      <c r="AC18" s="36"/>
      <c r="AD18" s="38"/>
      <c r="AE18" s="38"/>
      <c r="AF18" s="51">
        <v>10</v>
      </c>
      <c r="AG18" s="36">
        <f>+N18*W18/12*AF18</f>
        <v>7709.0079109999997</v>
      </c>
      <c r="AH18" s="38">
        <f>+N18-AG18</f>
        <v>20046.196089000001</v>
      </c>
      <c r="AI18" s="38">
        <v>6615.24</v>
      </c>
      <c r="AJ18" s="36">
        <f t="shared" si="8"/>
        <v>13430.956089000001</v>
      </c>
      <c r="AK18" s="52">
        <f>+N18*W18</f>
        <v>9250.8094932000004</v>
      </c>
      <c r="AL18" s="52">
        <f>+AJ18-AK18</f>
        <v>4180.1465958000008</v>
      </c>
      <c r="AM18" s="52">
        <v>4180.1499999999996</v>
      </c>
      <c r="AN18" s="52">
        <f t="shared" si="14"/>
        <v>-3.4041999988403404E-3</v>
      </c>
      <c r="AO18" s="52">
        <v>4180.1499999999996</v>
      </c>
      <c r="AP18" s="52">
        <f>+X18*N18</f>
        <v>770.90079109999999</v>
      </c>
      <c r="AQ18" s="36">
        <f t="shared" si="9"/>
        <v>-3.4041999988403404E-3</v>
      </c>
      <c r="AR18" s="52">
        <f t="shared" si="15"/>
        <v>0</v>
      </c>
      <c r="AS18" s="53"/>
      <c r="AT18" s="8" t="s">
        <v>74</v>
      </c>
      <c r="AU18" s="8"/>
      <c r="AV18" s="8"/>
    </row>
    <row r="19" spans="1:49" ht="15" outlineLevel="1" x14ac:dyDescent="0.35">
      <c r="A19" s="28">
        <v>12413</v>
      </c>
      <c r="B19" s="28"/>
      <c r="C19" s="29"/>
      <c r="D19" s="28"/>
      <c r="E19" s="29"/>
      <c r="F19" s="28"/>
      <c r="G19" s="29"/>
      <c r="H19" s="30"/>
      <c r="I19" s="30"/>
      <c r="J19" s="30"/>
      <c r="K19" s="54" t="s">
        <v>77</v>
      </c>
      <c r="L19" s="54"/>
      <c r="M19" s="50" t="s">
        <v>78</v>
      </c>
      <c r="N19" s="32">
        <f>+U19</f>
        <v>22997</v>
      </c>
      <c r="O19" s="32">
        <v>12633</v>
      </c>
      <c r="P19" s="33"/>
      <c r="Q19" s="33"/>
      <c r="R19" s="33"/>
      <c r="S19" s="33"/>
      <c r="T19" s="33"/>
      <c r="U19" s="33">
        <f>+'[1]aux 23'!K9</f>
        <v>22997</v>
      </c>
      <c r="V19" s="28">
        <v>12633</v>
      </c>
      <c r="W19" s="34">
        <v>0.33329999999999999</v>
      </c>
      <c r="X19" s="29">
        <f>+W19/12*1</f>
        <v>2.7774999999999998E-2</v>
      </c>
      <c r="Y19" s="29"/>
      <c r="Z19" s="35"/>
      <c r="AA19" s="36"/>
      <c r="AB19" s="37"/>
      <c r="AC19" s="36"/>
      <c r="AD19" s="38"/>
      <c r="AE19" s="38"/>
      <c r="AF19" s="55">
        <v>5</v>
      </c>
      <c r="AG19" s="36"/>
      <c r="AH19" s="38"/>
      <c r="AI19" s="38"/>
      <c r="AJ19" s="36">
        <f>+AH19-AI19</f>
        <v>0</v>
      </c>
      <c r="AK19" s="52">
        <f>+U19*W19</f>
        <v>7664.9000999999998</v>
      </c>
      <c r="AL19" s="52">
        <f>+U19-AK19</f>
        <v>15332.099900000001</v>
      </c>
      <c r="AM19" s="52">
        <f>+W19*U19</f>
        <v>7664.9000999999998</v>
      </c>
      <c r="AN19" s="52">
        <f t="shared" si="14"/>
        <v>7667.1998000000012</v>
      </c>
      <c r="AO19" s="52">
        <f>+Y19*W19</f>
        <v>0</v>
      </c>
      <c r="AP19" s="52">
        <f>+X19*U19</f>
        <v>638.74167499999999</v>
      </c>
      <c r="AQ19" s="36">
        <f t="shared" si="9"/>
        <v>5748.6750750000001</v>
      </c>
      <c r="AR19" s="52">
        <f t="shared" si="15"/>
        <v>1918.5247250000011</v>
      </c>
      <c r="AS19" s="53">
        <f>+AP19*3</f>
        <v>1916.225025</v>
      </c>
      <c r="AT19" s="8"/>
      <c r="AU19" s="8"/>
      <c r="AV19" s="8"/>
    </row>
    <row r="20" spans="1:49" ht="15" outlineLevel="1" x14ac:dyDescent="0.35">
      <c r="A20" s="28">
        <v>12413</v>
      </c>
      <c r="B20" s="28"/>
      <c r="C20" s="29"/>
      <c r="D20" s="28"/>
      <c r="E20" s="29"/>
      <c r="F20" s="28"/>
      <c r="G20" s="29"/>
      <c r="H20" s="30"/>
      <c r="I20" s="30"/>
      <c r="J20" s="30"/>
      <c r="K20" s="54" t="s">
        <v>79</v>
      </c>
      <c r="L20" s="54"/>
      <c r="M20" s="50" t="s">
        <v>78</v>
      </c>
      <c r="N20" s="32">
        <f>+U20</f>
        <v>13499</v>
      </c>
      <c r="O20" s="32">
        <v>12633</v>
      </c>
      <c r="P20" s="33"/>
      <c r="Q20" s="33"/>
      <c r="R20" s="33"/>
      <c r="S20" s="33"/>
      <c r="T20" s="33"/>
      <c r="U20" s="33">
        <f>+'[1]aux 23'!K10</f>
        <v>13499</v>
      </c>
      <c r="V20" s="28">
        <v>12633</v>
      </c>
      <c r="W20" s="34">
        <v>0.33329999999999999</v>
      </c>
      <c r="X20" s="29">
        <f>+W20/12*1</f>
        <v>2.7774999999999998E-2</v>
      </c>
      <c r="Y20" s="29"/>
      <c r="Z20" s="35"/>
      <c r="AA20" s="36"/>
      <c r="AB20" s="37"/>
      <c r="AC20" s="36"/>
      <c r="AD20" s="38"/>
      <c r="AE20" s="38"/>
      <c r="AF20" s="55">
        <v>5</v>
      </c>
      <c r="AG20" s="36"/>
      <c r="AH20" s="38"/>
      <c r="AI20" s="38"/>
      <c r="AJ20" s="36">
        <f>+AH20-AI20</f>
        <v>0</v>
      </c>
      <c r="AK20" s="52">
        <f>+U20*W20</f>
        <v>4499.2166999999999</v>
      </c>
      <c r="AL20" s="52">
        <f>+U20-AK20</f>
        <v>8999.7832999999991</v>
      </c>
      <c r="AM20" s="52">
        <f>+W20*U20</f>
        <v>4499.2166999999999</v>
      </c>
      <c r="AN20" s="52">
        <f t="shared" si="14"/>
        <v>4500.5665999999992</v>
      </c>
      <c r="AO20" s="52">
        <f>+Y20*W20</f>
        <v>0</v>
      </c>
      <c r="AP20" s="52">
        <f>+X20*U20</f>
        <v>374.93472499999996</v>
      </c>
      <c r="AQ20" s="36">
        <f t="shared" si="9"/>
        <v>3374.4125249999997</v>
      </c>
      <c r="AR20" s="52">
        <f t="shared" si="15"/>
        <v>1126.1540749999995</v>
      </c>
      <c r="AS20" s="53">
        <f>+AP20*3</f>
        <v>1124.8041749999998</v>
      </c>
      <c r="AT20" s="8"/>
      <c r="AU20" s="8"/>
      <c r="AV20" s="8"/>
    </row>
    <row r="21" spans="1:49" ht="15" outlineLevel="1" x14ac:dyDescent="0.35">
      <c r="A21" s="28">
        <v>12413</v>
      </c>
      <c r="B21" s="28"/>
      <c r="C21" s="29"/>
      <c r="D21" s="28"/>
      <c r="E21" s="29"/>
      <c r="F21" s="29"/>
      <c r="G21" s="29"/>
      <c r="H21" s="30"/>
      <c r="I21" s="30"/>
      <c r="J21" s="30"/>
      <c r="K21" s="54" t="s">
        <v>80</v>
      </c>
      <c r="L21" s="54"/>
      <c r="M21" s="50" t="s">
        <v>78</v>
      </c>
      <c r="N21" s="32">
        <f>+U21</f>
        <v>9999</v>
      </c>
      <c r="O21" s="32">
        <v>12633</v>
      </c>
      <c r="P21" s="33"/>
      <c r="Q21" s="33"/>
      <c r="R21" s="33"/>
      <c r="S21" s="33"/>
      <c r="T21" s="33"/>
      <c r="U21" s="33">
        <f>+'[1]aux 23'!K11</f>
        <v>9999</v>
      </c>
      <c r="V21" s="28">
        <v>12633</v>
      </c>
      <c r="W21" s="34">
        <v>0.33329999999999999</v>
      </c>
      <c r="X21" s="29">
        <f>+W21/12*1</f>
        <v>2.7774999999999998E-2</v>
      </c>
      <c r="Y21" s="29"/>
      <c r="Z21" s="35"/>
      <c r="AA21" s="36"/>
      <c r="AB21" s="37"/>
      <c r="AC21" s="36"/>
      <c r="AD21" s="38"/>
      <c r="AE21" s="38"/>
      <c r="AF21" s="55">
        <v>4</v>
      </c>
      <c r="AG21" s="36"/>
      <c r="AH21" s="38"/>
      <c r="AI21" s="38"/>
      <c r="AJ21" s="36">
        <f>+AH21-AI21</f>
        <v>0</v>
      </c>
      <c r="AK21" s="52">
        <f>+U21*W21</f>
        <v>3332.6666999999998</v>
      </c>
      <c r="AL21" s="52">
        <f>+U21-AK21</f>
        <v>6666.3333000000002</v>
      </c>
      <c r="AM21" s="52">
        <f>+W21*U21</f>
        <v>3332.6666999999998</v>
      </c>
      <c r="AN21" s="52">
        <f t="shared" si="14"/>
        <v>3333.6666000000005</v>
      </c>
      <c r="AO21" s="52">
        <f>+Y21*W21</f>
        <v>0</v>
      </c>
      <c r="AP21" s="52">
        <f>+X21*U21</f>
        <v>277.72222499999998</v>
      </c>
      <c r="AQ21" s="36">
        <f t="shared" si="9"/>
        <v>2499.5000249999998</v>
      </c>
      <c r="AR21" s="52">
        <f t="shared" si="15"/>
        <v>834.16657500000065</v>
      </c>
      <c r="AS21" s="53">
        <f>+AP21*3</f>
        <v>833.16667499999994</v>
      </c>
      <c r="AT21" s="8"/>
      <c r="AU21" s="8"/>
      <c r="AV21" s="8"/>
    </row>
    <row r="22" spans="1:49" ht="15" outlineLevel="1" x14ac:dyDescent="0.35">
      <c r="A22" s="28">
        <v>12467</v>
      </c>
      <c r="B22" s="28">
        <v>10</v>
      </c>
      <c r="C22" s="29"/>
      <c r="D22" s="29"/>
      <c r="E22" s="28"/>
      <c r="F22" s="28" t="s">
        <v>61</v>
      </c>
      <c r="G22" s="28"/>
      <c r="H22" s="30"/>
      <c r="I22" s="30"/>
      <c r="J22" s="30"/>
      <c r="K22" s="49"/>
      <c r="L22" s="49"/>
      <c r="M22" s="56" t="s">
        <v>81</v>
      </c>
      <c r="N22" s="32">
        <v>10896.32</v>
      </c>
      <c r="O22" s="32">
        <v>10896.32</v>
      </c>
      <c r="P22" s="33"/>
      <c r="Q22" s="33"/>
      <c r="R22" s="33"/>
      <c r="S22" s="33">
        <f>+N22</f>
        <v>10896.32</v>
      </c>
      <c r="T22" s="33"/>
      <c r="U22" s="33"/>
      <c r="V22" s="28">
        <v>126312</v>
      </c>
      <c r="W22" s="34">
        <v>0.33</v>
      </c>
      <c r="X22" s="29">
        <f>+W22/12*1</f>
        <v>2.75E-2</v>
      </c>
      <c r="Y22" s="29"/>
      <c r="Z22" s="57"/>
      <c r="AA22" s="57"/>
      <c r="AB22" s="57"/>
      <c r="AC22" s="36"/>
      <c r="AD22" s="38"/>
      <c r="AE22" s="38"/>
      <c r="AF22" s="55">
        <v>12</v>
      </c>
      <c r="AG22" s="36"/>
      <c r="AH22" s="38">
        <v>0</v>
      </c>
      <c r="AI22" s="36">
        <v>2505.21</v>
      </c>
      <c r="AJ22" s="57">
        <f>+N22-AI22</f>
        <v>8391.11</v>
      </c>
      <c r="AK22" s="57">
        <f>+N22*W22</f>
        <v>3595.7856000000002</v>
      </c>
      <c r="AL22" s="57">
        <f>+AJ22-AK22</f>
        <v>4795.3244000000004</v>
      </c>
      <c r="AM22" s="57">
        <f>+W22*N22</f>
        <v>3595.7856000000002</v>
      </c>
      <c r="AN22" s="58">
        <f t="shared" si="14"/>
        <v>1199.5388000000003</v>
      </c>
      <c r="AO22" s="57">
        <f>+Y22*Q22</f>
        <v>0</v>
      </c>
      <c r="AP22" s="58">
        <f>+AM22/12</f>
        <v>299.64879999999999</v>
      </c>
      <c r="AQ22" s="36">
        <f>IF((+AP22*9)&gt;AN22,AN22,(+AP22*9))</f>
        <v>1199.5388000000003</v>
      </c>
      <c r="AR22" s="52">
        <f t="shared" si="15"/>
        <v>0</v>
      </c>
      <c r="AS22" s="53"/>
      <c r="AT22" s="2" t="s">
        <v>82</v>
      </c>
      <c r="AU22" s="59"/>
      <c r="AV22" s="59"/>
      <c r="AW22" s="59"/>
    </row>
    <row r="23" spans="1:49" ht="15" outlineLevel="1" x14ac:dyDescent="0.35">
      <c r="A23" s="28">
        <v>12413</v>
      </c>
      <c r="B23" s="28">
        <v>12</v>
      </c>
      <c r="C23" s="29"/>
      <c r="D23" s="28" t="s">
        <v>61</v>
      </c>
      <c r="E23" s="29"/>
      <c r="F23" s="29"/>
      <c r="G23" s="29"/>
      <c r="H23" s="30"/>
      <c r="I23" s="30"/>
      <c r="J23" s="30"/>
      <c r="K23" s="49"/>
      <c r="L23" s="49"/>
      <c r="M23" s="56" t="s">
        <v>83</v>
      </c>
      <c r="N23" s="32">
        <v>3199</v>
      </c>
      <c r="O23" s="32">
        <v>3199</v>
      </c>
      <c r="P23" s="33"/>
      <c r="Q23" s="33">
        <f>+N23</f>
        <v>3199</v>
      </c>
      <c r="R23" s="33"/>
      <c r="S23" s="33"/>
      <c r="T23" s="33"/>
      <c r="U23" s="33"/>
      <c r="V23" s="28">
        <v>12633</v>
      </c>
      <c r="W23" s="34">
        <v>0.33329999999999999</v>
      </c>
      <c r="X23" s="29">
        <f>+W23/12*1</f>
        <v>2.7774999999999998E-2</v>
      </c>
      <c r="Y23" s="29"/>
      <c r="Z23" s="35"/>
      <c r="AA23" s="36">
        <v>8.89</v>
      </c>
      <c r="AB23" s="37">
        <f>+N23-AA23</f>
        <v>3190.11</v>
      </c>
      <c r="AC23" s="36">
        <f>+$N23*$W23</f>
        <v>1066.2266999999999</v>
      </c>
      <c r="AD23" s="38">
        <f>+AA23+AC23+Z23</f>
        <v>1075.1167</v>
      </c>
      <c r="AE23" s="38">
        <f>+N23-AD23</f>
        <v>2123.8833</v>
      </c>
      <c r="AF23" s="38"/>
      <c r="AG23" s="36">
        <v>1361.36</v>
      </c>
      <c r="AH23" s="38">
        <f>+AE23-AG23</f>
        <v>762.52330000000006</v>
      </c>
      <c r="AI23" s="38"/>
      <c r="AJ23" s="36">
        <f>+AH23-AI23</f>
        <v>762.52330000000006</v>
      </c>
      <c r="AK23" s="52">
        <f>+AJ23</f>
        <v>762.52330000000006</v>
      </c>
      <c r="AL23" s="52">
        <f>+AJ23-AK23</f>
        <v>0</v>
      </c>
      <c r="AM23" s="52">
        <f>+AL23</f>
        <v>0</v>
      </c>
      <c r="AN23" s="52">
        <f>+AL23-AM23</f>
        <v>0</v>
      </c>
      <c r="AO23" s="52">
        <f>+AN23</f>
        <v>0</v>
      </c>
      <c r="AP23" s="52">
        <f>+AM23-AN23</f>
        <v>0</v>
      </c>
      <c r="AQ23" s="36">
        <f t="shared" ref="AQ23:AQ67" si="16">IF((+AP23*9)&gt;AN23,AN23,(+AP23*9))</f>
        <v>0</v>
      </c>
      <c r="AR23" s="52">
        <f t="shared" si="15"/>
        <v>0</v>
      </c>
      <c r="AS23" s="53"/>
      <c r="AT23" s="8"/>
      <c r="AU23" s="8"/>
      <c r="AV23" s="8"/>
    </row>
    <row r="24" spans="1:49" s="68" customFormat="1" ht="15.6" x14ac:dyDescent="0.4">
      <c r="A24" s="60" t="s">
        <v>84</v>
      </c>
      <c r="B24" s="60"/>
      <c r="C24" s="60"/>
      <c r="D24" s="60"/>
      <c r="E24" s="61"/>
      <c r="F24" s="61"/>
      <c r="G24" s="61"/>
      <c r="H24" s="62"/>
      <c r="I24" s="62"/>
      <c r="J24" s="62"/>
      <c r="K24" s="63"/>
      <c r="L24" s="63"/>
      <c r="M24" s="64" t="s">
        <v>85</v>
      </c>
      <c r="N24" s="65">
        <f>SUM(N6:N23)</f>
        <v>289567.01200000005</v>
      </c>
      <c r="O24" s="65">
        <v>280971.01199999999</v>
      </c>
      <c r="P24" s="66">
        <f ca="1">SUBTOTAL(9,P6:P85)</f>
        <v>160895.47999999995</v>
      </c>
      <c r="Q24" s="66">
        <f ca="1">SUBTOTAL(9,Q6:Q85)</f>
        <v>233459</v>
      </c>
      <c r="R24" s="66">
        <f ca="1">SUBTOTAL(9,R6:R85)</f>
        <v>61113.463199999998</v>
      </c>
      <c r="S24" s="66"/>
      <c r="T24" s="66"/>
      <c r="U24" s="66"/>
      <c r="V24" s="66"/>
      <c r="W24" s="66"/>
      <c r="X24" s="66"/>
      <c r="Y24" s="66"/>
      <c r="Z24" s="65">
        <f t="shared" ref="Z24:AU24" si="17">SUM(Z6:Z23)</f>
        <v>4047.1252469999986</v>
      </c>
      <c r="AA24" s="65">
        <f t="shared" si="17"/>
        <v>48574.392964000006</v>
      </c>
      <c r="AB24" s="65">
        <f t="shared" si="17"/>
        <v>100335.68703600002</v>
      </c>
      <c r="AC24" s="65">
        <f t="shared" si="17"/>
        <v>49631.729664000006</v>
      </c>
      <c r="AD24" s="65">
        <f t="shared" si="17"/>
        <v>102253.24787499997</v>
      </c>
      <c r="AE24" s="65">
        <f t="shared" si="17"/>
        <v>46656.832125000023</v>
      </c>
      <c r="AF24" s="65">
        <f t="shared" si="17"/>
        <v>56</v>
      </c>
      <c r="AG24" s="65">
        <f t="shared" si="17"/>
        <v>69021.332558000024</v>
      </c>
      <c r="AH24" s="65">
        <f t="shared" si="17"/>
        <v>60901.111567</v>
      </c>
      <c r="AI24" s="65">
        <f t="shared" si="17"/>
        <v>22350.93</v>
      </c>
      <c r="AJ24" s="65">
        <f t="shared" si="17"/>
        <v>49446.501567000007</v>
      </c>
      <c r="AK24" s="65">
        <f t="shared" si="17"/>
        <v>47607.520879600001</v>
      </c>
      <c r="AL24" s="65">
        <f t="shared" si="17"/>
        <v>48333.980687399999</v>
      </c>
      <c r="AM24" s="65">
        <f t="shared" si="17"/>
        <v>31633.019100000001</v>
      </c>
      <c r="AN24" s="65">
        <f t="shared" si="17"/>
        <v>16700.961587400005</v>
      </c>
      <c r="AO24" s="65">
        <f t="shared" ref="AO24" si="18">SUM(AO6:AO23)</f>
        <v>12540.449999999999</v>
      </c>
      <c r="AP24" s="65">
        <f t="shared" si="17"/>
        <v>3903.7497982999998</v>
      </c>
      <c r="AQ24" s="66">
        <f t="shared" si="16"/>
        <v>16700.961587400005</v>
      </c>
      <c r="AR24" s="65">
        <f t="shared" ref="AR24" si="19">SUM(AR6:AR23)</f>
        <v>3878.8453750000012</v>
      </c>
      <c r="AS24" s="65">
        <f t="shared" si="17"/>
        <v>3874.1958749999999</v>
      </c>
      <c r="AT24" s="65">
        <f t="shared" si="17"/>
        <v>0</v>
      </c>
      <c r="AU24" s="65">
        <f t="shared" si="17"/>
        <v>1541.8015822</v>
      </c>
      <c r="AV24" s="67"/>
      <c r="AW24" s="67"/>
    </row>
    <row r="25" spans="1:49" ht="15" outlineLevel="1" x14ac:dyDescent="0.35">
      <c r="A25" s="28">
        <v>12469</v>
      </c>
      <c r="B25" s="28">
        <v>11</v>
      </c>
      <c r="C25" s="28" t="s">
        <v>61</v>
      </c>
      <c r="D25" s="28"/>
      <c r="E25" s="29"/>
      <c r="F25" s="29"/>
      <c r="G25" s="29"/>
      <c r="H25" s="30"/>
      <c r="I25" s="30"/>
      <c r="J25" s="30"/>
      <c r="K25" s="31"/>
      <c r="L25" s="31"/>
      <c r="M25" s="69" t="s">
        <v>86</v>
      </c>
      <c r="N25" s="32">
        <f>640*1.16</f>
        <v>742.4</v>
      </c>
      <c r="O25" s="32">
        <v>742.4</v>
      </c>
      <c r="P25" s="33">
        <f>+N25</f>
        <v>742.4</v>
      </c>
      <c r="Q25" s="33"/>
      <c r="R25" s="33"/>
      <c r="S25" s="33"/>
      <c r="T25" s="33"/>
      <c r="U25" s="33"/>
      <c r="V25" s="28">
        <v>126313</v>
      </c>
      <c r="W25" s="34">
        <v>0.1</v>
      </c>
      <c r="X25" s="29">
        <f t="shared" ref="X25:X82" si="20">+W25/12*1</f>
        <v>8.3333333333333332E-3</v>
      </c>
      <c r="Y25" s="29"/>
      <c r="Z25" s="35">
        <f t="shared" ref="Z25:Z43" si="21">+N25*X25*2</f>
        <v>12.373333333333333</v>
      </c>
      <c r="AA25" s="36">
        <f t="shared" ref="AA25:AA42" si="22">+$N25*$W25</f>
        <v>74.239999999999995</v>
      </c>
      <c r="AB25" s="37">
        <f t="shared" ref="AB25:AB43" si="23">+N25-AA25</f>
        <v>668.16</v>
      </c>
      <c r="AC25" s="36">
        <f t="shared" ref="AC25:AC42" si="24">+AB25</f>
        <v>668.16</v>
      </c>
      <c r="AD25" s="38">
        <f t="shared" ref="AD25:AD50" si="25">+AA25+AC25+Z25</f>
        <v>754.77333333333331</v>
      </c>
      <c r="AE25" s="38">
        <f t="shared" ref="AE25:AE50" si="26">+N25-AD25</f>
        <v>-12.373333333333335</v>
      </c>
      <c r="AF25" s="38"/>
      <c r="AG25" s="36">
        <f>+AE25</f>
        <v>-12.373333333333335</v>
      </c>
      <c r="AH25" s="66"/>
      <c r="AI25" s="38"/>
      <c r="AJ25" s="36">
        <f t="shared" ref="AJ25:AJ44" si="27">+AH25-AI25</f>
        <v>0</v>
      </c>
      <c r="AK25" s="36"/>
      <c r="AL25" s="52">
        <f t="shared" ref="AL25:AL44" si="28">+AJ25-AK25</f>
        <v>0</v>
      </c>
      <c r="AM25" s="36"/>
      <c r="AN25" s="52">
        <f t="shared" ref="AN25:AN44" si="29">+AL25-AM25</f>
        <v>0</v>
      </c>
      <c r="AO25" s="36"/>
      <c r="AP25" s="52">
        <f t="shared" ref="AP25:AP43" si="30">+AM25-AN25</f>
        <v>0</v>
      </c>
      <c r="AQ25" s="36">
        <f t="shared" si="16"/>
        <v>0</v>
      </c>
      <c r="AR25" s="52">
        <f t="shared" si="15"/>
        <v>0</v>
      </c>
      <c r="AS25" s="53"/>
      <c r="AT25" s="40"/>
      <c r="AU25" s="40"/>
      <c r="AV25" s="40"/>
      <c r="AW25" s="40">
        <f t="shared" ref="AW25:AW43" si="31">+$N25*$W25</f>
        <v>74.239999999999995</v>
      </c>
    </row>
    <row r="26" spans="1:49" ht="15" outlineLevel="1" x14ac:dyDescent="0.35">
      <c r="A26" s="28">
        <v>12469</v>
      </c>
      <c r="B26" s="28">
        <v>11</v>
      </c>
      <c r="C26" s="28" t="s">
        <v>61</v>
      </c>
      <c r="D26" s="28"/>
      <c r="E26" s="29"/>
      <c r="F26" s="29"/>
      <c r="G26" s="29"/>
      <c r="H26" s="30"/>
      <c r="I26" s="30"/>
      <c r="J26" s="30"/>
      <c r="K26" s="31"/>
      <c r="L26" s="31"/>
      <c r="M26" s="69" t="s">
        <v>86</v>
      </c>
      <c r="N26" s="32">
        <f t="shared" ref="N26:N33" si="32">640*1.16</f>
        <v>742.4</v>
      </c>
      <c r="O26" s="32">
        <v>742.4</v>
      </c>
      <c r="P26" s="33">
        <f t="shared" ref="P26:P42" si="33">+N26</f>
        <v>742.4</v>
      </c>
      <c r="Q26" s="33"/>
      <c r="R26" s="33"/>
      <c r="S26" s="33"/>
      <c r="T26" s="33"/>
      <c r="U26" s="33"/>
      <c r="V26" s="28">
        <v>126313</v>
      </c>
      <c r="W26" s="34">
        <v>0.1</v>
      </c>
      <c r="X26" s="29">
        <f t="shared" si="20"/>
        <v>8.3333333333333332E-3</v>
      </c>
      <c r="Y26" s="29"/>
      <c r="Z26" s="35">
        <f t="shared" si="21"/>
        <v>12.373333333333333</v>
      </c>
      <c r="AA26" s="36">
        <f t="shared" si="22"/>
        <v>74.239999999999995</v>
      </c>
      <c r="AB26" s="37">
        <f t="shared" si="23"/>
        <v>668.16</v>
      </c>
      <c r="AC26" s="36">
        <f t="shared" si="24"/>
        <v>668.16</v>
      </c>
      <c r="AD26" s="38">
        <f t="shared" si="25"/>
        <v>754.77333333333331</v>
      </c>
      <c r="AE26" s="38">
        <f t="shared" si="26"/>
        <v>-12.373333333333335</v>
      </c>
      <c r="AF26" s="38"/>
      <c r="AG26" s="36">
        <f t="shared" ref="AG26:AG43" si="34">+AE26</f>
        <v>-12.373333333333335</v>
      </c>
      <c r="AH26" s="66"/>
      <c r="AI26" s="38"/>
      <c r="AJ26" s="36">
        <f t="shared" si="27"/>
        <v>0</v>
      </c>
      <c r="AK26" s="36"/>
      <c r="AL26" s="52">
        <f t="shared" si="28"/>
        <v>0</v>
      </c>
      <c r="AM26" s="36"/>
      <c r="AN26" s="52">
        <f t="shared" si="29"/>
        <v>0</v>
      </c>
      <c r="AO26" s="36"/>
      <c r="AP26" s="52">
        <f t="shared" si="30"/>
        <v>0</v>
      </c>
      <c r="AQ26" s="36">
        <f t="shared" si="16"/>
        <v>0</v>
      </c>
      <c r="AR26" s="52">
        <f t="shared" si="15"/>
        <v>0</v>
      </c>
      <c r="AS26" s="53"/>
      <c r="AT26" s="40"/>
      <c r="AU26" s="40"/>
      <c r="AV26" s="40"/>
      <c r="AW26" s="40">
        <f t="shared" si="31"/>
        <v>74.239999999999995</v>
      </c>
    </row>
    <row r="27" spans="1:49" ht="15" outlineLevel="1" x14ac:dyDescent="0.35">
      <c r="A27" s="28">
        <v>12469</v>
      </c>
      <c r="B27" s="28">
        <v>11</v>
      </c>
      <c r="C27" s="28" t="s">
        <v>61</v>
      </c>
      <c r="D27" s="28"/>
      <c r="E27" s="29"/>
      <c r="F27" s="29"/>
      <c r="G27" s="29"/>
      <c r="H27" s="30"/>
      <c r="I27" s="30"/>
      <c r="J27" s="30"/>
      <c r="K27" s="31"/>
      <c r="L27" s="31"/>
      <c r="M27" s="69" t="s">
        <v>86</v>
      </c>
      <c r="N27" s="32">
        <f t="shared" si="32"/>
        <v>742.4</v>
      </c>
      <c r="O27" s="32">
        <v>742.4</v>
      </c>
      <c r="P27" s="33">
        <f t="shared" si="33"/>
        <v>742.4</v>
      </c>
      <c r="Q27" s="33"/>
      <c r="R27" s="33"/>
      <c r="S27" s="33"/>
      <c r="T27" s="33"/>
      <c r="U27" s="33"/>
      <c r="V27" s="28">
        <v>126313</v>
      </c>
      <c r="W27" s="34">
        <v>0.1</v>
      </c>
      <c r="X27" s="29">
        <f t="shared" si="20"/>
        <v>8.3333333333333332E-3</v>
      </c>
      <c r="Y27" s="29"/>
      <c r="Z27" s="35">
        <f t="shared" si="21"/>
        <v>12.373333333333333</v>
      </c>
      <c r="AA27" s="36">
        <f t="shared" si="22"/>
        <v>74.239999999999995</v>
      </c>
      <c r="AB27" s="37">
        <f t="shared" si="23"/>
        <v>668.16</v>
      </c>
      <c r="AC27" s="36">
        <f t="shared" si="24"/>
        <v>668.16</v>
      </c>
      <c r="AD27" s="38">
        <f t="shared" si="25"/>
        <v>754.77333333333331</v>
      </c>
      <c r="AE27" s="38">
        <f t="shared" si="26"/>
        <v>-12.373333333333335</v>
      </c>
      <c r="AF27" s="38"/>
      <c r="AG27" s="36">
        <f t="shared" si="34"/>
        <v>-12.373333333333335</v>
      </c>
      <c r="AH27" s="66"/>
      <c r="AI27" s="38"/>
      <c r="AJ27" s="36">
        <f t="shared" si="27"/>
        <v>0</v>
      </c>
      <c r="AK27" s="36"/>
      <c r="AL27" s="52">
        <f t="shared" si="28"/>
        <v>0</v>
      </c>
      <c r="AM27" s="36"/>
      <c r="AN27" s="52">
        <f t="shared" si="29"/>
        <v>0</v>
      </c>
      <c r="AO27" s="36"/>
      <c r="AP27" s="52">
        <f t="shared" si="30"/>
        <v>0</v>
      </c>
      <c r="AQ27" s="36">
        <f t="shared" si="16"/>
        <v>0</v>
      </c>
      <c r="AR27" s="52">
        <f t="shared" si="15"/>
        <v>0</v>
      </c>
      <c r="AS27" s="53"/>
      <c r="AT27" s="40"/>
      <c r="AU27" s="40"/>
      <c r="AV27" s="40"/>
      <c r="AW27" s="40">
        <f t="shared" si="31"/>
        <v>74.239999999999995</v>
      </c>
    </row>
    <row r="28" spans="1:49" ht="15" outlineLevel="1" x14ac:dyDescent="0.35">
      <c r="A28" s="28">
        <v>12469</v>
      </c>
      <c r="B28" s="28">
        <v>11</v>
      </c>
      <c r="C28" s="28" t="s">
        <v>61</v>
      </c>
      <c r="D28" s="28"/>
      <c r="E28" s="29"/>
      <c r="F28" s="29"/>
      <c r="G28" s="29"/>
      <c r="H28" s="30"/>
      <c r="I28" s="30"/>
      <c r="J28" s="30"/>
      <c r="K28" s="31"/>
      <c r="L28" s="31"/>
      <c r="M28" s="69" t="s">
        <v>86</v>
      </c>
      <c r="N28" s="32">
        <f t="shared" si="32"/>
        <v>742.4</v>
      </c>
      <c r="O28" s="32">
        <v>742.4</v>
      </c>
      <c r="P28" s="33">
        <f t="shared" si="33"/>
        <v>742.4</v>
      </c>
      <c r="Q28" s="33"/>
      <c r="R28" s="33"/>
      <c r="S28" s="33"/>
      <c r="T28" s="33"/>
      <c r="U28" s="33"/>
      <c r="V28" s="28">
        <v>126313</v>
      </c>
      <c r="W28" s="34">
        <v>0.1</v>
      </c>
      <c r="X28" s="29">
        <f t="shared" si="20"/>
        <v>8.3333333333333332E-3</v>
      </c>
      <c r="Y28" s="29"/>
      <c r="Z28" s="35">
        <f t="shared" si="21"/>
        <v>12.373333333333333</v>
      </c>
      <c r="AA28" s="36">
        <f t="shared" si="22"/>
        <v>74.239999999999995</v>
      </c>
      <c r="AB28" s="37">
        <f t="shared" si="23"/>
        <v>668.16</v>
      </c>
      <c r="AC28" s="36">
        <f t="shared" si="24"/>
        <v>668.16</v>
      </c>
      <c r="AD28" s="38">
        <f t="shared" si="25"/>
        <v>754.77333333333331</v>
      </c>
      <c r="AE28" s="38">
        <f t="shared" si="26"/>
        <v>-12.373333333333335</v>
      </c>
      <c r="AF28" s="38"/>
      <c r="AG28" s="36">
        <f t="shared" si="34"/>
        <v>-12.373333333333335</v>
      </c>
      <c r="AH28" s="66"/>
      <c r="AI28" s="38"/>
      <c r="AJ28" s="36">
        <f t="shared" si="27"/>
        <v>0</v>
      </c>
      <c r="AK28" s="36"/>
      <c r="AL28" s="52">
        <f t="shared" si="28"/>
        <v>0</v>
      </c>
      <c r="AM28" s="36"/>
      <c r="AN28" s="52">
        <f t="shared" si="29"/>
        <v>0</v>
      </c>
      <c r="AO28" s="36"/>
      <c r="AP28" s="52">
        <f t="shared" si="30"/>
        <v>0</v>
      </c>
      <c r="AQ28" s="36">
        <f t="shared" si="16"/>
        <v>0</v>
      </c>
      <c r="AR28" s="52">
        <f t="shared" si="15"/>
        <v>0</v>
      </c>
      <c r="AS28" s="53"/>
      <c r="AT28" s="40"/>
      <c r="AU28" s="40"/>
      <c r="AV28" s="40"/>
      <c r="AW28" s="40">
        <f t="shared" si="31"/>
        <v>74.239999999999995</v>
      </c>
    </row>
    <row r="29" spans="1:49" ht="15" outlineLevel="1" x14ac:dyDescent="0.35">
      <c r="A29" s="28">
        <v>12469</v>
      </c>
      <c r="B29" s="28">
        <v>11</v>
      </c>
      <c r="C29" s="28" t="s">
        <v>61</v>
      </c>
      <c r="D29" s="28"/>
      <c r="E29" s="29"/>
      <c r="F29" s="29"/>
      <c r="G29" s="29"/>
      <c r="H29" s="30"/>
      <c r="I29" s="30"/>
      <c r="J29" s="30"/>
      <c r="K29" s="31"/>
      <c r="L29" s="31"/>
      <c r="M29" s="69" t="s">
        <v>86</v>
      </c>
      <c r="N29" s="32">
        <f t="shared" si="32"/>
        <v>742.4</v>
      </c>
      <c r="O29" s="32">
        <v>742.4</v>
      </c>
      <c r="P29" s="33">
        <f t="shared" si="33"/>
        <v>742.4</v>
      </c>
      <c r="Q29" s="33"/>
      <c r="R29" s="33"/>
      <c r="S29" s="33"/>
      <c r="T29" s="33"/>
      <c r="U29" s="33"/>
      <c r="V29" s="28">
        <v>126313</v>
      </c>
      <c r="W29" s="34">
        <v>0.1</v>
      </c>
      <c r="X29" s="29">
        <f t="shared" si="20"/>
        <v>8.3333333333333332E-3</v>
      </c>
      <c r="Y29" s="29"/>
      <c r="Z29" s="35">
        <f t="shared" si="21"/>
        <v>12.373333333333333</v>
      </c>
      <c r="AA29" s="36">
        <f t="shared" si="22"/>
        <v>74.239999999999995</v>
      </c>
      <c r="AB29" s="37">
        <f t="shared" si="23"/>
        <v>668.16</v>
      </c>
      <c r="AC29" s="36">
        <f t="shared" si="24"/>
        <v>668.16</v>
      </c>
      <c r="AD29" s="38">
        <f t="shared" si="25"/>
        <v>754.77333333333331</v>
      </c>
      <c r="AE29" s="38">
        <f t="shared" si="26"/>
        <v>-12.373333333333335</v>
      </c>
      <c r="AF29" s="38"/>
      <c r="AG29" s="36">
        <f t="shared" si="34"/>
        <v>-12.373333333333335</v>
      </c>
      <c r="AH29" s="66"/>
      <c r="AI29" s="38"/>
      <c r="AJ29" s="36">
        <f t="shared" si="27"/>
        <v>0</v>
      </c>
      <c r="AK29" s="36"/>
      <c r="AL29" s="52">
        <f t="shared" si="28"/>
        <v>0</v>
      </c>
      <c r="AM29" s="36"/>
      <c r="AN29" s="52">
        <f t="shared" si="29"/>
        <v>0</v>
      </c>
      <c r="AO29" s="36"/>
      <c r="AP29" s="52">
        <f t="shared" si="30"/>
        <v>0</v>
      </c>
      <c r="AQ29" s="36">
        <f t="shared" si="16"/>
        <v>0</v>
      </c>
      <c r="AR29" s="52">
        <f t="shared" si="15"/>
        <v>0</v>
      </c>
      <c r="AS29" s="53"/>
      <c r="AT29" s="40"/>
      <c r="AU29" s="40"/>
      <c r="AV29" s="40"/>
      <c r="AW29" s="40">
        <f t="shared" si="31"/>
        <v>74.239999999999995</v>
      </c>
    </row>
    <row r="30" spans="1:49" ht="15" outlineLevel="1" x14ac:dyDescent="0.35">
      <c r="A30" s="28">
        <v>12469</v>
      </c>
      <c r="B30" s="28">
        <v>11</v>
      </c>
      <c r="C30" s="28" t="s">
        <v>61</v>
      </c>
      <c r="D30" s="28"/>
      <c r="E30" s="29"/>
      <c r="F30" s="29"/>
      <c r="G30" s="29"/>
      <c r="H30" s="30"/>
      <c r="I30" s="30"/>
      <c r="J30" s="30"/>
      <c r="K30" s="31"/>
      <c r="L30" s="31"/>
      <c r="M30" s="69" t="s">
        <v>86</v>
      </c>
      <c r="N30" s="32">
        <f t="shared" si="32"/>
        <v>742.4</v>
      </c>
      <c r="O30" s="32">
        <v>742.4</v>
      </c>
      <c r="P30" s="33">
        <f t="shared" si="33"/>
        <v>742.4</v>
      </c>
      <c r="Q30" s="33"/>
      <c r="R30" s="33"/>
      <c r="S30" s="33"/>
      <c r="T30" s="33"/>
      <c r="U30" s="33"/>
      <c r="V30" s="28">
        <v>126313</v>
      </c>
      <c r="W30" s="34">
        <v>0.1</v>
      </c>
      <c r="X30" s="29">
        <f t="shared" si="20"/>
        <v>8.3333333333333332E-3</v>
      </c>
      <c r="Y30" s="29"/>
      <c r="Z30" s="35">
        <f t="shared" si="21"/>
        <v>12.373333333333333</v>
      </c>
      <c r="AA30" s="36">
        <f t="shared" si="22"/>
        <v>74.239999999999995</v>
      </c>
      <c r="AB30" s="37">
        <f t="shared" si="23"/>
        <v>668.16</v>
      </c>
      <c r="AC30" s="36">
        <f t="shared" si="24"/>
        <v>668.16</v>
      </c>
      <c r="AD30" s="38">
        <f t="shared" si="25"/>
        <v>754.77333333333331</v>
      </c>
      <c r="AE30" s="38">
        <f t="shared" si="26"/>
        <v>-12.373333333333335</v>
      </c>
      <c r="AF30" s="38"/>
      <c r="AG30" s="36">
        <f t="shared" si="34"/>
        <v>-12.373333333333335</v>
      </c>
      <c r="AH30" s="66"/>
      <c r="AI30" s="38"/>
      <c r="AJ30" s="36">
        <f t="shared" si="27"/>
        <v>0</v>
      </c>
      <c r="AK30" s="36"/>
      <c r="AL30" s="52">
        <f t="shared" si="28"/>
        <v>0</v>
      </c>
      <c r="AM30" s="36"/>
      <c r="AN30" s="52">
        <f t="shared" si="29"/>
        <v>0</v>
      </c>
      <c r="AO30" s="36"/>
      <c r="AP30" s="52">
        <f t="shared" si="30"/>
        <v>0</v>
      </c>
      <c r="AQ30" s="36">
        <f t="shared" si="16"/>
        <v>0</v>
      </c>
      <c r="AR30" s="52">
        <f t="shared" si="15"/>
        <v>0</v>
      </c>
      <c r="AS30" s="53"/>
      <c r="AT30" s="40"/>
      <c r="AU30" s="40"/>
      <c r="AV30" s="40"/>
      <c r="AW30" s="40">
        <f t="shared" si="31"/>
        <v>74.239999999999995</v>
      </c>
    </row>
    <row r="31" spans="1:49" ht="15" outlineLevel="1" x14ac:dyDescent="0.35">
      <c r="A31" s="28">
        <v>12469</v>
      </c>
      <c r="B31" s="28">
        <v>11</v>
      </c>
      <c r="C31" s="28" t="s">
        <v>61</v>
      </c>
      <c r="D31" s="28"/>
      <c r="E31" s="29"/>
      <c r="F31" s="29"/>
      <c r="G31" s="29"/>
      <c r="H31" s="30"/>
      <c r="I31" s="30"/>
      <c r="J31" s="30"/>
      <c r="K31" s="31"/>
      <c r="L31" s="31"/>
      <c r="M31" s="69" t="s">
        <v>86</v>
      </c>
      <c r="N31" s="32">
        <f t="shared" si="32"/>
        <v>742.4</v>
      </c>
      <c r="O31" s="32">
        <v>742.4</v>
      </c>
      <c r="P31" s="33">
        <f t="shared" si="33"/>
        <v>742.4</v>
      </c>
      <c r="Q31" s="33"/>
      <c r="R31" s="33"/>
      <c r="S31" s="33"/>
      <c r="T31" s="33"/>
      <c r="U31" s="33"/>
      <c r="V31" s="28">
        <v>126313</v>
      </c>
      <c r="W31" s="34">
        <v>0.1</v>
      </c>
      <c r="X31" s="29">
        <f t="shared" si="20"/>
        <v>8.3333333333333332E-3</v>
      </c>
      <c r="Y31" s="29"/>
      <c r="Z31" s="35">
        <f t="shared" si="21"/>
        <v>12.373333333333333</v>
      </c>
      <c r="AA31" s="36">
        <f t="shared" si="22"/>
        <v>74.239999999999995</v>
      </c>
      <c r="AB31" s="37">
        <f t="shared" si="23"/>
        <v>668.16</v>
      </c>
      <c r="AC31" s="36">
        <f t="shared" si="24"/>
        <v>668.16</v>
      </c>
      <c r="AD31" s="38">
        <f t="shared" si="25"/>
        <v>754.77333333333331</v>
      </c>
      <c r="AE31" s="38">
        <f t="shared" si="26"/>
        <v>-12.373333333333335</v>
      </c>
      <c r="AF31" s="38"/>
      <c r="AG31" s="36">
        <f t="shared" si="34"/>
        <v>-12.373333333333335</v>
      </c>
      <c r="AH31" s="66"/>
      <c r="AI31" s="38"/>
      <c r="AJ31" s="36">
        <f t="shared" si="27"/>
        <v>0</v>
      </c>
      <c r="AK31" s="36"/>
      <c r="AL31" s="52">
        <f t="shared" si="28"/>
        <v>0</v>
      </c>
      <c r="AM31" s="36"/>
      <c r="AN31" s="52">
        <f t="shared" si="29"/>
        <v>0</v>
      </c>
      <c r="AO31" s="36"/>
      <c r="AP31" s="52">
        <f t="shared" si="30"/>
        <v>0</v>
      </c>
      <c r="AQ31" s="36">
        <f t="shared" si="16"/>
        <v>0</v>
      </c>
      <c r="AR31" s="52">
        <f t="shared" si="15"/>
        <v>0</v>
      </c>
      <c r="AS31" s="53"/>
      <c r="AT31" s="40"/>
      <c r="AU31" s="40"/>
      <c r="AV31" s="40"/>
      <c r="AW31" s="40">
        <f t="shared" si="31"/>
        <v>74.239999999999995</v>
      </c>
    </row>
    <row r="32" spans="1:49" ht="15" outlineLevel="1" x14ac:dyDescent="0.35">
      <c r="A32" s="28">
        <v>12469</v>
      </c>
      <c r="B32" s="28">
        <v>11</v>
      </c>
      <c r="C32" s="28" t="s">
        <v>61</v>
      </c>
      <c r="D32" s="28"/>
      <c r="E32" s="29"/>
      <c r="F32" s="29"/>
      <c r="G32" s="29"/>
      <c r="H32" s="30"/>
      <c r="I32" s="30"/>
      <c r="J32" s="30"/>
      <c r="K32" s="31"/>
      <c r="L32" s="31"/>
      <c r="M32" s="69" t="s">
        <v>86</v>
      </c>
      <c r="N32" s="32">
        <f t="shared" si="32"/>
        <v>742.4</v>
      </c>
      <c r="O32" s="32">
        <v>742.4</v>
      </c>
      <c r="P32" s="33">
        <f t="shared" si="33"/>
        <v>742.4</v>
      </c>
      <c r="Q32" s="33"/>
      <c r="R32" s="33"/>
      <c r="S32" s="33"/>
      <c r="T32" s="33"/>
      <c r="U32" s="33"/>
      <c r="V32" s="28">
        <v>126313</v>
      </c>
      <c r="W32" s="34">
        <v>0.1</v>
      </c>
      <c r="X32" s="29">
        <f t="shared" si="20"/>
        <v>8.3333333333333332E-3</v>
      </c>
      <c r="Y32" s="29"/>
      <c r="Z32" s="35">
        <f t="shared" si="21"/>
        <v>12.373333333333333</v>
      </c>
      <c r="AA32" s="36">
        <f t="shared" si="22"/>
        <v>74.239999999999995</v>
      </c>
      <c r="AB32" s="37">
        <f t="shared" si="23"/>
        <v>668.16</v>
      </c>
      <c r="AC32" s="36">
        <f t="shared" si="24"/>
        <v>668.16</v>
      </c>
      <c r="AD32" s="38">
        <f t="shared" si="25"/>
        <v>754.77333333333331</v>
      </c>
      <c r="AE32" s="38">
        <f t="shared" si="26"/>
        <v>-12.373333333333335</v>
      </c>
      <c r="AF32" s="38"/>
      <c r="AG32" s="36">
        <f t="shared" si="34"/>
        <v>-12.373333333333335</v>
      </c>
      <c r="AH32" s="66"/>
      <c r="AI32" s="38"/>
      <c r="AJ32" s="36">
        <f t="shared" si="27"/>
        <v>0</v>
      </c>
      <c r="AK32" s="36"/>
      <c r="AL32" s="52">
        <f t="shared" si="28"/>
        <v>0</v>
      </c>
      <c r="AM32" s="36"/>
      <c r="AN32" s="52">
        <f t="shared" si="29"/>
        <v>0</v>
      </c>
      <c r="AO32" s="36"/>
      <c r="AP32" s="52">
        <f t="shared" si="30"/>
        <v>0</v>
      </c>
      <c r="AQ32" s="36">
        <f t="shared" si="16"/>
        <v>0</v>
      </c>
      <c r="AR32" s="52">
        <f t="shared" si="15"/>
        <v>0</v>
      </c>
      <c r="AS32" s="53"/>
      <c r="AT32" s="40"/>
      <c r="AU32" s="40"/>
      <c r="AV32" s="40"/>
      <c r="AW32" s="40">
        <f t="shared" si="31"/>
        <v>74.239999999999995</v>
      </c>
    </row>
    <row r="33" spans="1:49" ht="15" outlineLevel="1" x14ac:dyDescent="0.35">
      <c r="A33" s="28">
        <v>12469</v>
      </c>
      <c r="B33" s="28">
        <v>11</v>
      </c>
      <c r="C33" s="28" t="s">
        <v>61</v>
      </c>
      <c r="D33" s="28"/>
      <c r="E33" s="29"/>
      <c r="F33" s="29"/>
      <c r="G33" s="29"/>
      <c r="H33" s="30"/>
      <c r="I33" s="30"/>
      <c r="J33" s="30"/>
      <c r="K33" s="31"/>
      <c r="L33" s="31"/>
      <c r="M33" s="69" t="s">
        <v>86</v>
      </c>
      <c r="N33" s="32">
        <f t="shared" si="32"/>
        <v>742.4</v>
      </c>
      <c r="O33" s="32">
        <v>742.4</v>
      </c>
      <c r="P33" s="33">
        <f t="shared" si="33"/>
        <v>742.4</v>
      </c>
      <c r="Q33" s="33"/>
      <c r="R33" s="33"/>
      <c r="S33" s="33"/>
      <c r="T33" s="33"/>
      <c r="U33" s="33"/>
      <c r="V33" s="28">
        <v>126313</v>
      </c>
      <c r="W33" s="34">
        <v>0.1</v>
      </c>
      <c r="X33" s="29">
        <f t="shared" si="20"/>
        <v>8.3333333333333332E-3</v>
      </c>
      <c r="Y33" s="29"/>
      <c r="Z33" s="35">
        <f t="shared" si="21"/>
        <v>12.373333333333333</v>
      </c>
      <c r="AA33" s="36">
        <f t="shared" si="22"/>
        <v>74.239999999999995</v>
      </c>
      <c r="AB33" s="37">
        <f t="shared" si="23"/>
        <v>668.16</v>
      </c>
      <c r="AC33" s="36">
        <f t="shared" si="24"/>
        <v>668.16</v>
      </c>
      <c r="AD33" s="38">
        <f t="shared" si="25"/>
        <v>754.77333333333331</v>
      </c>
      <c r="AE33" s="38">
        <f t="shared" si="26"/>
        <v>-12.373333333333335</v>
      </c>
      <c r="AF33" s="38"/>
      <c r="AG33" s="36">
        <f t="shared" si="34"/>
        <v>-12.373333333333335</v>
      </c>
      <c r="AH33" s="66"/>
      <c r="AI33" s="38"/>
      <c r="AJ33" s="36">
        <f t="shared" si="27"/>
        <v>0</v>
      </c>
      <c r="AK33" s="36"/>
      <c r="AL33" s="52">
        <f t="shared" si="28"/>
        <v>0</v>
      </c>
      <c r="AM33" s="36"/>
      <c r="AN33" s="52">
        <f t="shared" si="29"/>
        <v>0</v>
      </c>
      <c r="AO33" s="36"/>
      <c r="AP33" s="52">
        <f t="shared" si="30"/>
        <v>0</v>
      </c>
      <c r="AQ33" s="36">
        <f t="shared" si="16"/>
        <v>0</v>
      </c>
      <c r="AR33" s="52">
        <f t="shared" si="15"/>
        <v>0</v>
      </c>
      <c r="AS33" s="53"/>
      <c r="AT33" s="40"/>
      <c r="AU33" s="40"/>
      <c r="AV33" s="40"/>
      <c r="AW33" s="40">
        <f t="shared" si="31"/>
        <v>74.239999999999995</v>
      </c>
    </row>
    <row r="34" spans="1:49" ht="15" outlineLevel="1" x14ac:dyDescent="0.35">
      <c r="A34" s="28">
        <v>12469</v>
      </c>
      <c r="B34" s="28">
        <v>11</v>
      </c>
      <c r="C34" s="28" t="s">
        <v>61</v>
      </c>
      <c r="D34" s="28"/>
      <c r="E34" s="29"/>
      <c r="F34" s="29"/>
      <c r="G34" s="29"/>
      <c r="H34" s="30"/>
      <c r="I34" s="30"/>
      <c r="J34" s="30"/>
      <c r="K34" s="31"/>
      <c r="L34" s="31"/>
      <c r="M34" s="69" t="s">
        <v>87</v>
      </c>
      <c r="N34" s="32">
        <v>174</v>
      </c>
      <c r="O34" s="32">
        <v>174</v>
      </c>
      <c r="P34" s="33">
        <f t="shared" si="33"/>
        <v>174</v>
      </c>
      <c r="Q34" s="33"/>
      <c r="R34" s="33"/>
      <c r="S34" s="33"/>
      <c r="T34" s="33"/>
      <c r="U34" s="33"/>
      <c r="V34" s="28">
        <v>126313</v>
      </c>
      <c r="W34" s="34">
        <v>0.1</v>
      </c>
      <c r="X34" s="29">
        <f t="shared" si="20"/>
        <v>8.3333333333333332E-3</v>
      </c>
      <c r="Y34" s="29"/>
      <c r="Z34" s="35">
        <f t="shared" si="21"/>
        <v>2.9</v>
      </c>
      <c r="AA34" s="36">
        <f t="shared" si="22"/>
        <v>17.400000000000002</v>
      </c>
      <c r="AB34" s="37">
        <f t="shared" si="23"/>
        <v>156.6</v>
      </c>
      <c r="AC34" s="36">
        <f t="shared" si="24"/>
        <v>156.6</v>
      </c>
      <c r="AD34" s="38">
        <f t="shared" si="25"/>
        <v>176.9</v>
      </c>
      <c r="AE34" s="38">
        <f t="shared" si="26"/>
        <v>-2.9000000000000057</v>
      </c>
      <c r="AF34" s="38"/>
      <c r="AG34" s="36">
        <f t="shared" si="34"/>
        <v>-2.9000000000000057</v>
      </c>
      <c r="AH34" s="66"/>
      <c r="AI34" s="38"/>
      <c r="AJ34" s="36">
        <f t="shared" si="27"/>
        <v>0</v>
      </c>
      <c r="AK34" s="36"/>
      <c r="AL34" s="52">
        <f t="shared" si="28"/>
        <v>0</v>
      </c>
      <c r="AM34" s="36"/>
      <c r="AN34" s="52">
        <f t="shared" si="29"/>
        <v>0</v>
      </c>
      <c r="AO34" s="36"/>
      <c r="AP34" s="52">
        <f t="shared" si="30"/>
        <v>0</v>
      </c>
      <c r="AQ34" s="36">
        <f t="shared" si="16"/>
        <v>0</v>
      </c>
      <c r="AR34" s="52">
        <f t="shared" si="15"/>
        <v>0</v>
      </c>
      <c r="AS34" s="53"/>
      <c r="AT34" s="40"/>
      <c r="AU34" s="40"/>
      <c r="AV34" s="40"/>
      <c r="AW34" s="40">
        <f t="shared" si="31"/>
        <v>17.400000000000002</v>
      </c>
    </row>
    <row r="35" spans="1:49" ht="15" outlineLevel="1" x14ac:dyDescent="0.35">
      <c r="A35" s="28">
        <v>12469</v>
      </c>
      <c r="B35" s="28">
        <v>11</v>
      </c>
      <c r="C35" s="28" t="s">
        <v>61</v>
      </c>
      <c r="D35" s="28"/>
      <c r="E35" s="29"/>
      <c r="F35" s="29"/>
      <c r="G35" s="29"/>
      <c r="H35" s="30"/>
      <c r="I35" s="30"/>
      <c r="J35" s="30"/>
      <c r="K35" s="31"/>
      <c r="L35" s="31"/>
      <c r="M35" s="69" t="s">
        <v>87</v>
      </c>
      <c r="N35" s="32">
        <v>174</v>
      </c>
      <c r="O35" s="32">
        <v>174</v>
      </c>
      <c r="P35" s="33">
        <f t="shared" si="33"/>
        <v>174</v>
      </c>
      <c r="Q35" s="33"/>
      <c r="R35" s="33"/>
      <c r="S35" s="33"/>
      <c r="T35" s="33"/>
      <c r="U35" s="33"/>
      <c r="V35" s="28">
        <v>126313</v>
      </c>
      <c r="W35" s="34">
        <v>0.1</v>
      </c>
      <c r="X35" s="29">
        <f t="shared" si="20"/>
        <v>8.3333333333333332E-3</v>
      </c>
      <c r="Y35" s="29"/>
      <c r="Z35" s="35">
        <f t="shared" si="21"/>
        <v>2.9</v>
      </c>
      <c r="AA35" s="36">
        <f t="shared" si="22"/>
        <v>17.400000000000002</v>
      </c>
      <c r="AB35" s="37">
        <f t="shared" si="23"/>
        <v>156.6</v>
      </c>
      <c r="AC35" s="36">
        <f t="shared" si="24"/>
        <v>156.6</v>
      </c>
      <c r="AD35" s="38">
        <f t="shared" si="25"/>
        <v>176.9</v>
      </c>
      <c r="AE35" s="38">
        <f t="shared" si="26"/>
        <v>-2.9000000000000057</v>
      </c>
      <c r="AF35" s="38"/>
      <c r="AG35" s="36">
        <f t="shared" si="34"/>
        <v>-2.9000000000000057</v>
      </c>
      <c r="AH35" s="66"/>
      <c r="AI35" s="38"/>
      <c r="AJ35" s="36">
        <f t="shared" si="27"/>
        <v>0</v>
      </c>
      <c r="AK35" s="36"/>
      <c r="AL35" s="52">
        <f t="shared" si="28"/>
        <v>0</v>
      </c>
      <c r="AM35" s="36"/>
      <c r="AN35" s="52">
        <f t="shared" si="29"/>
        <v>0</v>
      </c>
      <c r="AO35" s="36"/>
      <c r="AP35" s="52">
        <f t="shared" si="30"/>
        <v>0</v>
      </c>
      <c r="AQ35" s="36">
        <f t="shared" si="16"/>
        <v>0</v>
      </c>
      <c r="AR35" s="52">
        <f t="shared" si="15"/>
        <v>0</v>
      </c>
      <c r="AS35" s="53"/>
      <c r="AT35" s="40"/>
      <c r="AU35" s="40"/>
      <c r="AV35" s="40"/>
      <c r="AW35" s="40">
        <f t="shared" si="31"/>
        <v>17.400000000000002</v>
      </c>
    </row>
    <row r="36" spans="1:49" ht="15" outlineLevel="1" x14ac:dyDescent="0.35">
      <c r="A36" s="28">
        <v>12469</v>
      </c>
      <c r="B36" s="28">
        <v>11</v>
      </c>
      <c r="C36" s="28" t="s">
        <v>61</v>
      </c>
      <c r="D36" s="28"/>
      <c r="E36" s="29"/>
      <c r="F36" s="29"/>
      <c r="G36" s="29"/>
      <c r="H36" s="30"/>
      <c r="I36" s="30"/>
      <c r="J36" s="30"/>
      <c r="K36" s="31"/>
      <c r="L36" s="31"/>
      <c r="M36" s="69" t="s">
        <v>87</v>
      </c>
      <c r="N36" s="32">
        <v>174</v>
      </c>
      <c r="O36" s="32">
        <v>174</v>
      </c>
      <c r="P36" s="33">
        <f t="shared" si="33"/>
        <v>174</v>
      </c>
      <c r="Q36" s="33"/>
      <c r="R36" s="33"/>
      <c r="S36" s="33"/>
      <c r="T36" s="33"/>
      <c r="U36" s="33"/>
      <c r="V36" s="28">
        <v>126313</v>
      </c>
      <c r="W36" s="34">
        <v>0.1</v>
      </c>
      <c r="X36" s="29">
        <f t="shared" si="20"/>
        <v>8.3333333333333332E-3</v>
      </c>
      <c r="Y36" s="29"/>
      <c r="Z36" s="35">
        <f t="shared" si="21"/>
        <v>2.9</v>
      </c>
      <c r="AA36" s="36">
        <f t="shared" si="22"/>
        <v>17.400000000000002</v>
      </c>
      <c r="AB36" s="37">
        <f t="shared" si="23"/>
        <v>156.6</v>
      </c>
      <c r="AC36" s="36">
        <f t="shared" si="24"/>
        <v>156.6</v>
      </c>
      <c r="AD36" s="38">
        <f t="shared" si="25"/>
        <v>176.9</v>
      </c>
      <c r="AE36" s="38">
        <f t="shared" si="26"/>
        <v>-2.9000000000000057</v>
      </c>
      <c r="AF36" s="38"/>
      <c r="AG36" s="36">
        <f t="shared" si="34"/>
        <v>-2.9000000000000057</v>
      </c>
      <c r="AH36" s="66"/>
      <c r="AI36" s="38"/>
      <c r="AJ36" s="36">
        <f t="shared" si="27"/>
        <v>0</v>
      </c>
      <c r="AK36" s="36"/>
      <c r="AL36" s="52">
        <f t="shared" si="28"/>
        <v>0</v>
      </c>
      <c r="AM36" s="36"/>
      <c r="AN36" s="52">
        <f t="shared" si="29"/>
        <v>0</v>
      </c>
      <c r="AO36" s="36"/>
      <c r="AP36" s="52">
        <f t="shared" si="30"/>
        <v>0</v>
      </c>
      <c r="AQ36" s="36">
        <f t="shared" si="16"/>
        <v>0</v>
      </c>
      <c r="AR36" s="52">
        <f t="shared" si="15"/>
        <v>0</v>
      </c>
      <c r="AS36" s="53"/>
      <c r="AT36" s="40"/>
      <c r="AU36" s="40"/>
      <c r="AV36" s="40"/>
      <c r="AW36" s="40">
        <f t="shared" si="31"/>
        <v>17.400000000000002</v>
      </c>
    </row>
    <row r="37" spans="1:49" ht="15" outlineLevel="1" x14ac:dyDescent="0.35">
      <c r="A37" s="28">
        <v>12469</v>
      </c>
      <c r="B37" s="28">
        <v>11</v>
      </c>
      <c r="C37" s="28" t="s">
        <v>61</v>
      </c>
      <c r="D37" s="28"/>
      <c r="E37" s="29"/>
      <c r="F37" s="29"/>
      <c r="G37" s="29"/>
      <c r="H37" s="30"/>
      <c r="I37" s="30"/>
      <c r="J37" s="30"/>
      <c r="K37" s="31"/>
      <c r="L37" s="31"/>
      <c r="M37" s="69" t="s">
        <v>87</v>
      </c>
      <c r="N37" s="32">
        <v>174</v>
      </c>
      <c r="O37" s="32">
        <v>174</v>
      </c>
      <c r="P37" s="33">
        <f t="shared" si="33"/>
        <v>174</v>
      </c>
      <c r="Q37" s="33"/>
      <c r="R37" s="33"/>
      <c r="S37" s="33"/>
      <c r="T37" s="33"/>
      <c r="U37" s="33"/>
      <c r="V37" s="28">
        <v>126313</v>
      </c>
      <c r="W37" s="34">
        <v>0.1</v>
      </c>
      <c r="X37" s="29">
        <f t="shared" si="20"/>
        <v>8.3333333333333332E-3</v>
      </c>
      <c r="Y37" s="29"/>
      <c r="Z37" s="35">
        <f t="shared" si="21"/>
        <v>2.9</v>
      </c>
      <c r="AA37" s="36">
        <f t="shared" si="22"/>
        <v>17.400000000000002</v>
      </c>
      <c r="AB37" s="37">
        <f t="shared" si="23"/>
        <v>156.6</v>
      </c>
      <c r="AC37" s="36">
        <f t="shared" si="24"/>
        <v>156.6</v>
      </c>
      <c r="AD37" s="38">
        <f t="shared" si="25"/>
        <v>176.9</v>
      </c>
      <c r="AE37" s="38">
        <f t="shared" si="26"/>
        <v>-2.9000000000000057</v>
      </c>
      <c r="AF37" s="38"/>
      <c r="AG37" s="36">
        <f t="shared" si="34"/>
        <v>-2.9000000000000057</v>
      </c>
      <c r="AH37" s="66"/>
      <c r="AI37" s="38"/>
      <c r="AJ37" s="36">
        <f t="shared" si="27"/>
        <v>0</v>
      </c>
      <c r="AK37" s="36"/>
      <c r="AL37" s="52">
        <f t="shared" si="28"/>
        <v>0</v>
      </c>
      <c r="AM37" s="36"/>
      <c r="AN37" s="52">
        <f t="shared" si="29"/>
        <v>0</v>
      </c>
      <c r="AO37" s="36"/>
      <c r="AP37" s="52">
        <f t="shared" si="30"/>
        <v>0</v>
      </c>
      <c r="AQ37" s="36">
        <f t="shared" si="16"/>
        <v>0</v>
      </c>
      <c r="AR37" s="52">
        <f t="shared" si="15"/>
        <v>0</v>
      </c>
      <c r="AS37" s="53"/>
      <c r="AT37" s="40"/>
      <c r="AU37" s="40"/>
      <c r="AV37" s="40"/>
      <c r="AW37" s="40">
        <f t="shared" si="31"/>
        <v>17.400000000000002</v>
      </c>
    </row>
    <row r="38" spans="1:49" ht="15" outlineLevel="1" x14ac:dyDescent="0.35">
      <c r="A38" s="28">
        <v>12469</v>
      </c>
      <c r="B38" s="28">
        <v>11</v>
      </c>
      <c r="C38" s="28" t="s">
        <v>61</v>
      </c>
      <c r="D38" s="28"/>
      <c r="E38" s="29"/>
      <c r="F38" s="29"/>
      <c r="G38" s="29"/>
      <c r="H38" s="30"/>
      <c r="I38" s="30"/>
      <c r="J38" s="30"/>
      <c r="K38" s="31"/>
      <c r="L38" s="31"/>
      <c r="M38" s="69" t="s">
        <v>87</v>
      </c>
      <c r="N38" s="32">
        <v>174</v>
      </c>
      <c r="O38" s="32">
        <v>174</v>
      </c>
      <c r="P38" s="33">
        <f t="shared" si="33"/>
        <v>174</v>
      </c>
      <c r="Q38" s="33"/>
      <c r="R38" s="33"/>
      <c r="S38" s="33"/>
      <c r="T38" s="33"/>
      <c r="U38" s="33"/>
      <c r="V38" s="28">
        <v>126313</v>
      </c>
      <c r="W38" s="34">
        <v>0.1</v>
      </c>
      <c r="X38" s="29">
        <f t="shared" si="20"/>
        <v>8.3333333333333332E-3</v>
      </c>
      <c r="Y38" s="29"/>
      <c r="Z38" s="35">
        <f t="shared" si="21"/>
        <v>2.9</v>
      </c>
      <c r="AA38" s="36">
        <f t="shared" si="22"/>
        <v>17.400000000000002</v>
      </c>
      <c r="AB38" s="37">
        <f t="shared" si="23"/>
        <v>156.6</v>
      </c>
      <c r="AC38" s="36">
        <f t="shared" si="24"/>
        <v>156.6</v>
      </c>
      <c r="AD38" s="38">
        <f t="shared" si="25"/>
        <v>176.9</v>
      </c>
      <c r="AE38" s="38">
        <f t="shared" si="26"/>
        <v>-2.9000000000000057</v>
      </c>
      <c r="AF38" s="38"/>
      <c r="AG38" s="36">
        <f t="shared" si="34"/>
        <v>-2.9000000000000057</v>
      </c>
      <c r="AH38" s="66"/>
      <c r="AI38" s="38"/>
      <c r="AJ38" s="36">
        <f t="shared" si="27"/>
        <v>0</v>
      </c>
      <c r="AK38" s="36"/>
      <c r="AL38" s="52">
        <f t="shared" si="28"/>
        <v>0</v>
      </c>
      <c r="AM38" s="36"/>
      <c r="AN38" s="52">
        <f t="shared" si="29"/>
        <v>0</v>
      </c>
      <c r="AO38" s="36"/>
      <c r="AP38" s="52">
        <f t="shared" si="30"/>
        <v>0</v>
      </c>
      <c r="AQ38" s="36">
        <f t="shared" si="16"/>
        <v>0</v>
      </c>
      <c r="AR38" s="52">
        <f t="shared" si="15"/>
        <v>0</v>
      </c>
      <c r="AS38" s="53"/>
      <c r="AT38" s="40"/>
      <c r="AU38" s="40"/>
      <c r="AV38" s="40"/>
      <c r="AW38" s="40">
        <f t="shared" si="31"/>
        <v>17.400000000000002</v>
      </c>
    </row>
    <row r="39" spans="1:49" ht="15" outlineLevel="1" x14ac:dyDescent="0.35">
      <c r="A39" s="28">
        <v>12469</v>
      </c>
      <c r="B39" s="28">
        <v>11</v>
      </c>
      <c r="C39" s="28" t="s">
        <v>61</v>
      </c>
      <c r="D39" s="28"/>
      <c r="E39" s="29"/>
      <c r="F39" s="29"/>
      <c r="G39" s="29"/>
      <c r="H39" s="30"/>
      <c r="I39" s="30"/>
      <c r="J39" s="30"/>
      <c r="K39" s="31"/>
      <c r="L39" s="31"/>
      <c r="M39" s="69" t="s">
        <v>87</v>
      </c>
      <c r="N39" s="32">
        <v>174</v>
      </c>
      <c r="O39" s="32">
        <v>174</v>
      </c>
      <c r="P39" s="33">
        <f t="shared" si="33"/>
        <v>174</v>
      </c>
      <c r="Q39" s="33"/>
      <c r="R39" s="33"/>
      <c r="S39" s="33"/>
      <c r="T39" s="33"/>
      <c r="U39" s="33"/>
      <c r="V39" s="28">
        <v>126313</v>
      </c>
      <c r="W39" s="34">
        <v>0.1</v>
      </c>
      <c r="X39" s="29">
        <f t="shared" si="20"/>
        <v>8.3333333333333332E-3</v>
      </c>
      <c r="Y39" s="29"/>
      <c r="Z39" s="35">
        <f t="shared" si="21"/>
        <v>2.9</v>
      </c>
      <c r="AA39" s="36">
        <f t="shared" si="22"/>
        <v>17.400000000000002</v>
      </c>
      <c r="AB39" s="37">
        <f t="shared" si="23"/>
        <v>156.6</v>
      </c>
      <c r="AC39" s="36">
        <f t="shared" si="24"/>
        <v>156.6</v>
      </c>
      <c r="AD39" s="38">
        <f t="shared" si="25"/>
        <v>176.9</v>
      </c>
      <c r="AE39" s="38">
        <f t="shared" si="26"/>
        <v>-2.9000000000000057</v>
      </c>
      <c r="AF39" s="38"/>
      <c r="AG39" s="32">
        <f t="shared" si="34"/>
        <v>-2.9000000000000057</v>
      </c>
      <c r="AH39" s="65"/>
      <c r="AI39" s="70"/>
      <c r="AJ39" s="36">
        <f t="shared" si="27"/>
        <v>0</v>
      </c>
      <c r="AK39" s="36"/>
      <c r="AL39" s="52">
        <f t="shared" si="28"/>
        <v>0</v>
      </c>
      <c r="AM39" s="36"/>
      <c r="AN39" s="52">
        <f t="shared" si="29"/>
        <v>0</v>
      </c>
      <c r="AO39" s="36"/>
      <c r="AP39" s="52">
        <f t="shared" si="30"/>
        <v>0</v>
      </c>
      <c r="AQ39" s="36">
        <f t="shared" si="16"/>
        <v>0</v>
      </c>
      <c r="AR39" s="52">
        <f t="shared" si="15"/>
        <v>0</v>
      </c>
      <c r="AS39" s="53"/>
      <c r="AT39" s="40"/>
      <c r="AU39" s="40"/>
      <c r="AV39" s="40"/>
      <c r="AW39" s="40">
        <f t="shared" si="31"/>
        <v>17.400000000000002</v>
      </c>
    </row>
    <row r="40" spans="1:49" ht="15" outlineLevel="1" x14ac:dyDescent="0.35">
      <c r="A40" s="28">
        <v>12469</v>
      </c>
      <c r="B40" s="28">
        <v>11</v>
      </c>
      <c r="C40" s="28" t="s">
        <v>61</v>
      </c>
      <c r="D40" s="28"/>
      <c r="E40" s="29"/>
      <c r="F40" s="29"/>
      <c r="G40" s="29"/>
      <c r="H40" s="30"/>
      <c r="I40" s="30"/>
      <c r="J40" s="30"/>
      <c r="K40" s="31"/>
      <c r="L40" s="31"/>
      <c r="M40" s="69" t="s">
        <v>87</v>
      </c>
      <c r="N40" s="32">
        <v>174</v>
      </c>
      <c r="O40" s="32">
        <v>174</v>
      </c>
      <c r="P40" s="33">
        <f t="shared" si="33"/>
        <v>174</v>
      </c>
      <c r="Q40" s="33"/>
      <c r="R40" s="33"/>
      <c r="S40" s="33"/>
      <c r="T40" s="33"/>
      <c r="U40" s="33"/>
      <c r="V40" s="28">
        <v>126313</v>
      </c>
      <c r="W40" s="34">
        <v>0.1</v>
      </c>
      <c r="X40" s="29">
        <f t="shared" si="20"/>
        <v>8.3333333333333332E-3</v>
      </c>
      <c r="Y40" s="29"/>
      <c r="Z40" s="35">
        <f t="shared" si="21"/>
        <v>2.9</v>
      </c>
      <c r="AA40" s="36">
        <f t="shared" si="22"/>
        <v>17.400000000000002</v>
      </c>
      <c r="AB40" s="37">
        <f t="shared" si="23"/>
        <v>156.6</v>
      </c>
      <c r="AC40" s="36">
        <f t="shared" si="24"/>
        <v>156.6</v>
      </c>
      <c r="AD40" s="38">
        <f t="shared" si="25"/>
        <v>176.9</v>
      </c>
      <c r="AE40" s="38">
        <f t="shared" si="26"/>
        <v>-2.9000000000000057</v>
      </c>
      <c r="AF40" s="38"/>
      <c r="AG40" s="32">
        <f t="shared" si="34"/>
        <v>-2.9000000000000057</v>
      </c>
      <c r="AH40" s="65"/>
      <c r="AI40" s="70"/>
      <c r="AJ40" s="36">
        <f t="shared" si="27"/>
        <v>0</v>
      </c>
      <c r="AK40" s="36"/>
      <c r="AL40" s="52">
        <f t="shared" si="28"/>
        <v>0</v>
      </c>
      <c r="AM40" s="36"/>
      <c r="AN40" s="52">
        <f t="shared" si="29"/>
        <v>0</v>
      </c>
      <c r="AO40" s="36"/>
      <c r="AP40" s="52">
        <f t="shared" si="30"/>
        <v>0</v>
      </c>
      <c r="AQ40" s="36">
        <f t="shared" si="16"/>
        <v>0</v>
      </c>
      <c r="AR40" s="52">
        <f t="shared" si="15"/>
        <v>0</v>
      </c>
      <c r="AS40" s="53"/>
      <c r="AT40" s="40"/>
      <c r="AU40" s="40"/>
      <c r="AV40" s="40"/>
      <c r="AW40" s="40">
        <f t="shared" si="31"/>
        <v>17.400000000000002</v>
      </c>
    </row>
    <row r="41" spans="1:49" ht="15" outlineLevel="1" x14ac:dyDescent="0.35">
      <c r="A41" s="28">
        <v>12469</v>
      </c>
      <c r="B41" s="28">
        <v>11</v>
      </c>
      <c r="C41" s="28" t="s">
        <v>61</v>
      </c>
      <c r="D41" s="28"/>
      <c r="E41" s="29"/>
      <c r="F41" s="29"/>
      <c r="G41" s="29"/>
      <c r="H41" s="30"/>
      <c r="I41" s="30"/>
      <c r="J41" s="30"/>
      <c r="K41" s="31"/>
      <c r="L41" s="31"/>
      <c r="M41" s="69" t="s">
        <v>87</v>
      </c>
      <c r="N41" s="32">
        <v>174</v>
      </c>
      <c r="O41" s="32">
        <v>174</v>
      </c>
      <c r="P41" s="33">
        <f t="shared" si="33"/>
        <v>174</v>
      </c>
      <c r="Q41" s="33"/>
      <c r="R41" s="33"/>
      <c r="S41" s="33"/>
      <c r="T41" s="33"/>
      <c r="U41" s="33"/>
      <c r="V41" s="28">
        <v>126313</v>
      </c>
      <c r="W41" s="34">
        <v>0.1</v>
      </c>
      <c r="X41" s="29">
        <f t="shared" si="20"/>
        <v>8.3333333333333332E-3</v>
      </c>
      <c r="Y41" s="29"/>
      <c r="Z41" s="35">
        <f t="shared" si="21"/>
        <v>2.9</v>
      </c>
      <c r="AA41" s="36">
        <f t="shared" si="22"/>
        <v>17.400000000000002</v>
      </c>
      <c r="AB41" s="37">
        <f t="shared" si="23"/>
        <v>156.6</v>
      </c>
      <c r="AC41" s="36">
        <f t="shared" si="24"/>
        <v>156.6</v>
      </c>
      <c r="AD41" s="38">
        <f t="shared" si="25"/>
        <v>176.9</v>
      </c>
      <c r="AE41" s="38">
        <f t="shared" si="26"/>
        <v>-2.9000000000000057</v>
      </c>
      <c r="AF41" s="38"/>
      <c r="AG41" s="32">
        <f t="shared" si="34"/>
        <v>-2.9000000000000057</v>
      </c>
      <c r="AH41" s="65"/>
      <c r="AI41" s="70"/>
      <c r="AJ41" s="36">
        <f t="shared" si="27"/>
        <v>0</v>
      </c>
      <c r="AK41" s="36"/>
      <c r="AL41" s="52">
        <f t="shared" si="28"/>
        <v>0</v>
      </c>
      <c r="AM41" s="36"/>
      <c r="AN41" s="52">
        <f t="shared" si="29"/>
        <v>0</v>
      </c>
      <c r="AO41" s="36"/>
      <c r="AP41" s="52">
        <f t="shared" si="30"/>
        <v>0</v>
      </c>
      <c r="AQ41" s="36">
        <f t="shared" si="16"/>
        <v>0</v>
      </c>
      <c r="AR41" s="52">
        <f t="shared" si="15"/>
        <v>0</v>
      </c>
      <c r="AS41" s="53"/>
      <c r="AT41" s="40"/>
      <c r="AU41" s="40"/>
      <c r="AV41" s="40"/>
      <c r="AW41" s="40">
        <f t="shared" si="31"/>
        <v>17.400000000000002</v>
      </c>
    </row>
    <row r="42" spans="1:49" ht="15" outlineLevel="1" x14ac:dyDescent="0.35">
      <c r="A42" s="28">
        <v>12469</v>
      </c>
      <c r="B42" s="28">
        <v>11</v>
      </c>
      <c r="C42" s="28" t="s">
        <v>61</v>
      </c>
      <c r="D42" s="28"/>
      <c r="E42" s="29"/>
      <c r="F42" s="29"/>
      <c r="G42" s="29"/>
      <c r="H42" s="30"/>
      <c r="I42" s="30"/>
      <c r="J42" s="30"/>
      <c r="K42" s="31"/>
      <c r="L42" s="31"/>
      <c r="M42" s="69" t="s">
        <v>87</v>
      </c>
      <c r="N42" s="32">
        <v>174</v>
      </c>
      <c r="O42" s="32">
        <v>174</v>
      </c>
      <c r="P42" s="33">
        <f t="shared" si="33"/>
        <v>174</v>
      </c>
      <c r="Q42" s="33"/>
      <c r="R42" s="33"/>
      <c r="S42" s="33"/>
      <c r="T42" s="33"/>
      <c r="U42" s="33"/>
      <c r="V42" s="28">
        <v>126313</v>
      </c>
      <c r="W42" s="34">
        <v>0.1</v>
      </c>
      <c r="X42" s="29">
        <f t="shared" si="20"/>
        <v>8.3333333333333332E-3</v>
      </c>
      <c r="Y42" s="29"/>
      <c r="Z42" s="35">
        <f t="shared" si="21"/>
        <v>2.9</v>
      </c>
      <c r="AA42" s="36">
        <f t="shared" si="22"/>
        <v>17.400000000000002</v>
      </c>
      <c r="AB42" s="37">
        <f t="shared" si="23"/>
        <v>156.6</v>
      </c>
      <c r="AC42" s="36">
        <f t="shared" si="24"/>
        <v>156.6</v>
      </c>
      <c r="AD42" s="38">
        <f t="shared" si="25"/>
        <v>176.9</v>
      </c>
      <c r="AE42" s="38">
        <f t="shared" si="26"/>
        <v>-2.9000000000000057</v>
      </c>
      <c r="AF42" s="38"/>
      <c r="AG42" s="32">
        <f t="shared" si="34"/>
        <v>-2.9000000000000057</v>
      </c>
      <c r="AH42" s="65"/>
      <c r="AI42" s="70"/>
      <c r="AJ42" s="36">
        <f t="shared" si="27"/>
        <v>0</v>
      </c>
      <c r="AK42" s="36"/>
      <c r="AL42" s="52">
        <f t="shared" si="28"/>
        <v>0</v>
      </c>
      <c r="AM42" s="36"/>
      <c r="AN42" s="52">
        <f t="shared" si="29"/>
        <v>0</v>
      </c>
      <c r="AO42" s="36"/>
      <c r="AP42" s="52">
        <f t="shared" si="30"/>
        <v>0</v>
      </c>
      <c r="AQ42" s="36">
        <f t="shared" si="16"/>
        <v>0</v>
      </c>
      <c r="AR42" s="52">
        <f t="shared" si="15"/>
        <v>0</v>
      </c>
      <c r="AS42" s="53"/>
      <c r="AT42" s="40"/>
      <c r="AU42" s="40"/>
      <c r="AV42" s="40"/>
      <c r="AW42" s="40">
        <f t="shared" si="31"/>
        <v>17.400000000000002</v>
      </c>
    </row>
    <row r="43" spans="1:49" ht="15" outlineLevel="1" x14ac:dyDescent="0.35">
      <c r="A43" s="28">
        <v>12469</v>
      </c>
      <c r="B43" s="28">
        <v>11</v>
      </c>
      <c r="C43" s="28" t="s">
        <v>61</v>
      </c>
      <c r="D43" s="28"/>
      <c r="E43" s="29"/>
      <c r="F43" s="29"/>
      <c r="G43" s="29"/>
      <c r="H43" s="30"/>
      <c r="I43" s="30"/>
      <c r="J43" s="30"/>
      <c r="K43" s="31"/>
      <c r="L43" s="31"/>
      <c r="M43" s="71" t="s">
        <v>88</v>
      </c>
      <c r="N43" s="32">
        <f>5980*1.16</f>
        <v>6936.7999999999993</v>
      </c>
      <c r="O43" s="32">
        <v>6936.7999999999993</v>
      </c>
      <c r="P43" s="72">
        <f>5980*1.16</f>
        <v>6936.7999999999993</v>
      </c>
      <c r="Q43" s="33"/>
      <c r="R43" s="33"/>
      <c r="S43" s="33"/>
      <c r="T43" s="33"/>
      <c r="U43" s="33"/>
      <c r="V43" s="28">
        <v>126313</v>
      </c>
      <c r="W43" s="34">
        <v>0.1</v>
      </c>
      <c r="X43" s="29">
        <f t="shared" si="20"/>
        <v>8.3333333333333332E-3</v>
      </c>
      <c r="Y43" s="29"/>
      <c r="Z43" s="35">
        <f t="shared" si="21"/>
        <v>115.61333333333332</v>
      </c>
      <c r="AA43" s="36">
        <f>+$N43*$W43+2241.7</f>
        <v>2935.3799999999997</v>
      </c>
      <c r="AB43" s="37">
        <f t="shared" si="23"/>
        <v>4001.4199999999996</v>
      </c>
      <c r="AC43" s="36">
        <f>+AB43+253.07-2241.7</f>
        <v>2012.79</v>
      </c>
      <c r="AD43" s="38">
        <f t="shared" si="25"/>
        <v>5063.7833333333338</v>
      </c>
      <c r="AE43" s="38">
        <f t="shared" si="26"/>
        <v>1873.0166666666655</v>
      </c>
      <c r="AF43" s="38"/>
      <c r="AG43" s="32">
        <f t="shared" si="34"/>
        <v>1873.0166666666655</v>
      </c>
      <c r="AH43" s="65"/>
      <c r="AI43" s="70"/>
      <c r="AJ43" s="36">
        <f t="shared" si="27"/>
        <v>0</v>
      </c>
      <c r="AK43" s="36"/>
      <c r="AL43" s="52">
        <f t="shared" si="28"/>
        <v>0</v>
      </c>
      <c r="AM43" s="36"/>
      <c r="AN43" s="52">
        <f t="shared" si="29"/>
        <v>0</v>
      </c>
      <c r="AO43" s="36"/>
      <c r="AP43" s="52">
        <f t="shared" si="30"/>
        <v>0</v>
      </c>
      <c r="AQ43" s="36">
        <f t="shared" si="16"/>
        <v>0</v>
      </c>
      <c r="AR43" s="52">
        <f t="shared" si="15"/>
        <v>0</v>
      </c>
      <c r="AS43" s="53"/>
      <c r="AT43" s="40"/>
      <c r="AU43" s="40"/>
      <c r="AV43" s="40"/>
      <c r="AW43" s="40">
        <f t="shared" si="31"/>
        <v>693.68</v>
      </c>
    </row>
    <row r="44" spans="1:49" ht="15" outlineLevel="1" collapsed="1" x14ac:dyDescent="0.35">
      <c r="A44" s="28">
        <v>12467</v>
      </c>
      <c r="B44" s="28">
        <v>8</v>
      </c>
      <c r="C44" s="29"/>
      <c r="D44" s="29"/>
      <c r="E44" s="29"/>
      <c r="F44" s="29"/>
      <c r="G44" s="28" t="s">
        <v>61</v>
      </c>
      <c r="H44" s="29"/>
      <c r="I44" s="29"/>
      <c r="J44" s="29"/>
      <c r="K44" s="29"/>
      <c r="L44" s="29"/>
      <c r="M44" s="73" t="s">
        <v>89</v>
      </c>
      <c r="N44" s="74">
        <v>1542800</v>
      </c>
      <c r="O44" s="74">
        <v>1542800</v>
      </c>
      <c r="P44" s="75"/>
      <c r="Q44" s="75"/>
      <c r="R44" s="75"/>
      <c r="S44" s="75"/>
      <c r="T44" s="33">
        <f>+N44</f>
        <v>1542800</v>
      </c>
      <c r="U44" s="75"/>
      <c r="V44" s="28">
        <v>126312</v>
      </c>
      <c r="W44" s="34">
        <v>0.1</v>
      </c>
      <c r="X44" s="29">
        <f t="shared" si="20"/>
        <v>8.3333333333333332E-3</v>
      </c>
      <c r="Y44" s="29"/>
      <c r="Z44" s="29"/>
      <c r="AA44" s="29"/>
      <c r="AB44" s="29"/>
      <c r="AC44" s="36">
        <f t="shared" ref="AC44:AC50" si="35">+W44*N44</f>
        <v>154280</v>
      </c>
      <c r="AD44" s="38">
        <f t="shared" si="25"/>
        <v>154280</v>
      </c>
      <c r="AE44" s="38">
        <f t="shared" si="26"/>
        <v>1388520</v>
      </c>
      <c r="AF44" s="38">
        <v>12</v>
      </c>
      <c r="AG44" s="32">
        <f>+$N44*$W44</f>
        <v>154280</v>
      </c>
      <c r="AH44" s="70">
        <f t="shared" ref="AH44:AH50" si="36">+AE44-AG44</f>
        <v>1234240</v>
      </c>
      <c r="AI44" s="32">
        <f>+$N44*$W44</f>
        <v>154280</v>
      </c>
      <c r="AJ44" s="57">
        <f t="shared" si="27"/>
        <v>1079960</v>
      </c>
      <c r="AK44" s="57">
        <f>+N44*W44</f>
        <v>154280</v>
      </c>
      <c r="AL44" s="57">
        <f t="shared" si="28"/>
        <v>925680</v>
      </c>
      <c r="AM44" s="57">
        <f t="shared" ref="AM44:AM65" si="37">+W44*N44</f>
        <v>154280</v>
      </c>
      <c r="AN44" s="58">
        <f t="shared" si="29"/>
        <v>771400</v>
      </c>
      <c r="AO44" s="57">
        <f>+Y44*Q44</f>
        <v>0</v>
      </c>
      <c r="AP44" s="58">
        <f>+AM44/12</f>
        <v>12856.666666666666</v>
      </c>
      <c r="AQ44" s="36">
        <f t="shared" si="16"/>
        <v>115710</v>
      </c>
      <c r="AR44" s="52">
        <f t="shared" si="15"/>
        <v>655690</v>
      </c>
      <c r="AS44" s="76"/>
      <c r="AT44" s="2" t="s">
        <v>82</v>
      </c>
    </row>
    <row r="45" spans="1:49" s="68" customFormat="1" ht="15.6" outlineLevel="1" x14ac:dyDescent="0.4">
      <c r="A45" s="60">
        <v>12467</v>
      </c>
      <c r="B45" s="60">
        <v>12</v>
      </c>
      <c r="C45" s="61"/>
      <c r="D45" s="61"/>
      <c r="E45" s="61"/>
      <c r="F45" s="61"/>
      <c r="G45" s="60" t="s">
        <v>61</v>
      </c>
      <c r="H45" s="61"/>
      <c r="I45" s="61"/>
      <c r="J45" s="61"/>
      <c r="K45" s="61"/>
      <c r="L45" s="61"/>
      <c r="M45" s="117" t="s">
        <v>90</v>
      </c>
      <c r="N45" s="118">
        <f>223415.42-SUM(N46:N55)</f>
        <v>26680.002000000008</v>
      </c>
      <c r="O45" s="118">
        <v>26680.002000000008</v>
      </c>
      <c r="P45" s="119"/>
      <c r="Q45" s="119"/>
      <c r="R45" s="119"/>
      <c r="S45" s="119"/>
      <c r="T45" s="120">
        <f>+N45</f>
        <v>26680.002000000008</v>
      </c>
      <c r="U45" s="119"/>
      <c r="V45" s="60">
        <v>126312</v>
      </c>
      <c r="W45" s="84">
        <v>0.1</v>
      </c>
      <c r="X45" s="61">
        <f t="shared" si="20"/>
        <v>8.3333333333333332E-3</v>
      </c>
      <c r="Y45" s="61"/>
      <c r="Z45" s="61"/>
      <c r="AA45" s="61"/>
      <c r="AB45" s="61"/>
      <c r="AC45" s="66">
        <f t="shared" si="35"/>
        <v>2668.0002000000009</v>
      </c>
      <c r="AD45" s="121">
        <f t="shared" si="25"/>
        <v>2668.0002000000009</v>
      </c>
      <c r="AE45" s="121">
        <f t="shared" si="26"/>
        <v>24012.001800000005</v>
      </c>
      <c r="AF45" s="121">
        <v>12</v>
      </c>
      <c r="AG45" s="65">
        <f>+$N45*$W45</f>
        <v>2668.0002000000009</v>
      </c>
      <c r="AH45" s="122">
        <f t="shared" si="36"/>
        <v>21344.001600000003</v>
      </c>
      <c r="AI45" s="65">
        <f>+$N45*$W45</f>
        <v>2668.0002000000009</v>
      </c>
      <c r="AJ45" s="90">
        <f>+AH45-AI45</f>
        <v>18676.001400000001</v>
      </c>
      <c r="AK45" s="90">
        <f>+N45*W45</f>
        <v>2668.0002000000009</v>
      </c>
      <c r="AL45" s="90">
        <f>+AJ45-AK45</f>
        <v>16008.001200000001</v>
      </c>
      <c r="AM45" s="90">
        <f t="shared" si="37"/>
        <v>2668.0002000000009</v>
      </c>
      <c r="AN45" s="123">
        <f>+AL45-AM45</f>
        <v>13340.001</v>
      </c>
      <c r="AO45" s="90">
        <f>+Y45*Q45</f>
        <v>0</v>
      </c>
      <c r="AP45" s="123">
        <f>+AM45/12</f>
        <v>222.33335000000008</v>
      </c>
      <c r="AQ45" s="66">
        <f t="shared" si="16"/>
        <v>2001.0001500000008</v>
      </c>
      <c r="AR45" s="124">
        <f t="shared" si="15"/>
        <v>11339.00085</v>
      </c>
      <c r="AS45" s="125"/>
      <c r="AT45" s="68" t="s">
        <v>82</v>
      </c>
    </row>
    <row r="46" spans="1:49" ht="15" outlineLevel="1" x14ac:dyDescent="0.35">
      <c r="A46" s="28">
        <v>12467</v>
      </c>
      <c r="B46" s="28">
        <v>12</v>
      </c>
      <c r="C46" s="29"/>
      <c r="D46" s="29"/>
      <c r="E46" s="28" t="s">
        <v>61</v>
      </c>
      <c r="F46" s="28"/>
      <c r="G46" s="28"/>
      <c r="H46" s="30"/>
      <c r="I46" s="30"/>
      <c r="J46" s="30"/>
      <c r="K46" s="49"/>
      <c r="L46" s="49"/>
      <c r="M46" s="56" t="s">
        <v>91</v>
      </c>
      <c r="N46" s="32">
        <f>14879.26*1.16</f>
        <v>17259.941599999998</v>
      </c>
      <c r="O46" s="32">
        <v>17259.941599999998</v>
      </c>
      <c r="P46" s="33"/>
      <c r="Q46" s="33"/>
      <c r="R46" s="33">
        <f>+N46</f>
        <v>17259.941599999998</v>
      </c>
      <c r="S46" s="33"/>
      <c r="T46" s="33"/>
      <c r="U46" s="33"/>
      <c r="V46" s="28">
        <v>126312</v>
      </c>
      <c r="W46" s="34">
        <v>0.1</v>
      </c>
      <c r="X46" s="29">
        <f t="shared" si="20"/>
        <v>8.3333333333333332E-3</v>
      </c>
      <c r="Y46" s="29"/>
      <c r="Z46" s="57"/>
      <c r="AA46" s="57"/>
      <c r="AB46" s="57"/>
      <c r="AC46" s="36">
        <f t="shared" si="35"/>
        <v>1725.99416</v>
      </c>
      <c r="AD46" s="38">
        <f t="shared" si="25"/>
        <v>1725.99416</v>
      </c>
      <c r="AE46" s="38">
        <f t="shared" si="26"/>
        <v>15533.947439999998</v>
      </c>
      <c r="AF46" s="38">
        <v>12</v>
      </c>
      <c r="AG46" s="32">
        <f>+$N46*$W46</f>
        <v>1725.99416</v>
      </c>
      <c r="AH46" s="70">
        <f t="shared" si="36"/>
        <v>13807.953279999998</v>
      </c>
      <c r="AI46" s="32">
        <f>+$N46*$W46</f>
        <v>1725.99416</v>
      </c>
      <c r="AJ46" s="57">
        <f t="shared" ref="AJ46:AJ55" si="38">+AH46-AI46</f>
        <v>12081.959119999998</v>
      </c>
      <c r="AK46" s="57">
        <f>+N46*W46</f>
        <v>1725.99416</v>
      </c>
      <c r="AL46" s="57">
        <f t="shared" ref="AL46:AL65" si="39">+AJ46-AK46</f>
        <v>10355.964959999998</v>
      </c>
      <c r="AM46" s="57">
        <f t="shared" si="37"/>
        <v>1725.99416</v>
      </c>
      <c r="AN46" s="57">
        <f t="shared" ref="AN46:AN65" si="40">+AL46-AM46</f>
        <v>8629.9707999999973</v>
      </c>
      <c r="AO46" s="57">
        <f>+Y46*Q46</f>
        <v>0</v>
      </c>
      <c r="AP46" s="57">
        <f>+AM46/12</f>
        <v>143.83284666666665</v>
      </c>
      <c r="AQ46" s="36">
        <f t="shared" si="16"/>
        <v>1294.4956199999999</v>
      </c>
      <c r="AR46" s="52">
        <f t="shared" si="15"/>
        <v>7335.4751799999976</v>
      </c>
      <c r="AS46" s="53">
        <f t="shared" ref="AS46:AS65" si="41">+AP46*3</f>
        <v>431.49853999999993</v>
      </c>
      <c r="AT46" s="57" t="s">
        <v>92</v>
      </c>
      <c r="AU46" s="59"/>
      <c r="AV46" s="59" t="s">
        <v>93</v>
      </c>
      <c r="AW46" s="59"/>
    </row>
    <row r="47" spans="1:49" ht="15" outlineLevel="1" x14ac:dyDescent="0.35">
      <c r="A47" s="28">
        <v>12467</v>
      </c>
      <c r="B47" s="28">
        <v>12</v>
      </c>
      <c r="C47" s="29"/>
      <c r="D47" s="29"/>
      <c r="E47" s="28" t="s">
        <v>61</v>
      </c>
      <c r="F47" s="28"/>
      <c r="G47" s="28"/>
      <c r="H47" s="30"/>
      <c r="I47" s="30"/>
      <c r="J47" s="30"/>
      <c r="K47" s="49"/>
      <c r="L47" s="49"/>
      <c r="M47" s="56" t="s">
        <v>91</v>
      </c>
      <c r="N47" s="32">
        <f>14879.26*1.16</f>
        <v>17259.941599999998</v>
      </c>
      <c r="O47" s="32">
        <v>17259.941599999998</v>
      </c>
      <c r="P47" s="33"/>
      <c r="Q47" s="33"/>
      <c r="R47" s="33">
        <f>+N47</f>
        <v>17259.941599999998</v>
      </c>
      <c r="S47" s="33"/>
      <c r="T47" s="33"/>
      <c r="U47" s="33"/>
      <c r="V47" s="28">
        <v>126312</v>
      </c>
      <c r="W47" s="34">
        <v>0.1</v>
      </c>
      <c r="X47" s="29">
        <f t="shared" si="20"/>
        <v>8.3333333333333332E-3</v>
      </c>
      <c r="Y47" s="29"/>
      <c r="Z47" s="57"/>
      <c r="AA47" s="57"/>
      <c r="AB47" s="57"/>
      <c r="AC47" s="36">
        <f t="shared" si="35"/>
        <v>1725.99416</v>
      </c>
      <c r="AD47" s="38">
        <f t="shared" si="25"/>
        <v>1725.99416</v>
      </c>
      <c r="AE47" s="38">
        <f t="shared" si="26"/>
        <v>15533.947439999998</v>
      </c>
      <c r="AF47" s="38">
        <v>12</v>
      </c>
      <c r="AG47" s="32">
        <f>+$N47*$W47</f>
        <v>1725.99416</v>
      </c>
      <c r="AH47" s="70">
        <f t="shared" si="36"/>
        <v>13807.953279999998</v>
      </c>
      <c r="AI47" s="32">
        <f>+$N47*$W47</f>
        <v>1725.99416</v>
      </c>
      <c r="AJ47" s="57">
        <f t="shared" si="38"/>
        <v>12081.959119999998</v>
      </c>
      <c r="AK47" s="57">
        <f t="shared" ref="AK47:AK65" si="42">+N47*W47</f>
        <v>1725.99416</v>
      </c>
      <c r="AL47" s="57">
        <f t="shared" si="39"/>
        <v>10355.964959999998</v>
      </c>
      <c r="AM47" s="57">
        <f t="shared" si="37"/>
        <v>1725.99416</v>
      </c>
      <c r="AN47" s="57">
        <f t="shared" si="40"/>
        <v>8629.9707999999973</v>
      </c>
      <c r="AO47" s="57">
        <f t="shared" ref="AO47:AO62" si="43">+Y47*Q47</f>
        <v>0</v>
      </c>
      <c r="AP47" s="57">
        <f t="shared" ref="AP47:AP65" si="44">+AM47/12</f>
        <v>143.83284666666665</v>
      </c>
      <c r="AQ47" s="36">
        <f t="shared" si="16"/>
        <v>1294.4956199999999</v>
      </c>
      <c r="AR47" s="52">
        <f t="shared" si="15"/>
        <v>7335.4751799999976</v>
      </c>
      <c r="AS47" s="53">
        <f t="shared" si="41"/>
        <v>431.49853999999993</v>
      </c>
      <c r="AT47" s="57" t="s">
        <v>92</v>
      </c>
      <c r="AU47" s="59"/>
      <c r="AV47" s="59"/>
      <c r="AW47" s="59"/>
    </row>
    <row r="48" spans="1:49" ht="15" outlineLevel="1" x14ac:dyDescent="0.35">
      <c r="A48" s="28">
        <v>12467</v>
      </c>
      <c r="B48" s="28">
        <v>12</v>
      </c>
      <c r="C48" s="29"/>
      <c r="D48" s="29"/>
      <c r="E48" s="28" t="s">
        <v>61</v>
      </c>
      <c r="F48" s="28"/>
      <c r="G48" s="28"/>
      <c r="H48" s="30"/>
      <c r="I48" s="30"/>
      <c r="J48" s="30"/>
      <c r="K48" s="49"/>
      <c r="L48" s="49"/>
      <c r="M48" s="56" t="s">
        <v>94</v>
      </c>
      <c r="N48" s="32">
        <f>5675.5*1.16</f>
        <v>6583.58</v>
      </c>
      <c r="O48" s="32">
        <v>6583.58</v>
      </c>
      <c r="P48" s="33"/>
      <c r="Q48" s="33"/>
      <c r="R48" s="33">
        <f>+N48</f>
        <v>6583.58</v>
      </c>
      <c r="S48" s="33"/>
      <c r="T48" s="33"/>
      <c r="U48" s="33"/>
      <c r="V48" s="28">
        <v>126312</v>
      </c>
      <c r="W48" s="34">
        <v>0.1</v>
      </c>
      <c r="X48" s="29">
        <f t="shared" si="20"/>
        <v>8.3333333333333332E-3</v>
      </c>
      <c r="Y48" s="29"/>
      <c r="Z48" s="57"/>
      <c r="AA48" s="57"/>
      <c r="AB48" s="57"/>
      <c r="AC48" s="36">
        <f t="shared" si="35"/>
        <v>658.35800000000006</v>
      </c>
      <c r="AD48" s="38">
        <f t="shared" si="25"/>
        <v>658.35800000000006</v>
      </c>
      <c r="AE48" s="38">
        <f t="shared" si="26"/>
        <v>5925.2219999999998</v>
      </c>
      <c r="AF48" s="38">
        <v>12</v>
      </c>
      <c r="AG48" s="32">
        <f>+AE48</f>
        <v>5925.2219999999998</v>
      </c>
      <c r="AH48" s="70">
        <f t="shared" si="36"/>
        <v>0</v>
      </c>
      <c r="AI48" s="32">
        <v>0</v>
      </c>
      <c r="AJ48" s="57">
        <f t="shared" si="38"/>
        <v>0</v>
      </c>
      <c r="AK48" s="57">
        <v>0</v>
      </c>
      <c r="AL48" s="57">
        <f t="shared" si="39"/>
        <v>0</v>
      </c>
      <c r="AM48" s="57">
        <f t="shared" si="37"/>
        <v>658.35800000000006</v>
      </c>
      <c r="AN48" s="57">
        <f t="shared" si="40"/>
        <v>-658.35800000000006</v>
      </c>
      <c r="AO48" s="57">
        <f t="shared" si="43"/>
        <v>0</v>
      </c>
      <c r="AP48" s="57">
        <f t="shared" si="44"/>
        <v>54.863166666666672</v>
      </c>
      <c r="AQ48" s="36">
        <f t="shared" si="16"/>
        <v>-658.35800000000006</v>
      </c>
      <c r="AR48" s="52">
        <f t="shared" si="15"/>
        <v>0</v>
      </c>
      <c r="AS48" s="53">
        <f t="shared" si="41"/>
        <v>164.58950000000002</v>
      </c>
      <c r="AT48" s="32" t="s">
        <v>95</v>
      </c>
      <c r="AU48" s="59"/>
      <c r="AV48" s="59"/>
      <c r="AW48" s="59"/>
    </row>
    <row r="49" spans="1:49" ht="15" outlineLevel="1" x14ac:dyDescent="0.35">
      <c r="A49" s="28">
        <v>12467</v>
      </c>
      <c r="B49" s="28">
        <v>12</v>
      </c>
      <c r="C49" s="29"/>
      <c r="D49" s="29"/>
      <c r="E49" s="28" t="s">
        <v>61</v>
      </c>
      <c r="F49" s="28"/>
      <c r="G49" s="28"/>
      <c r="H49" s="30"/>
      <c r="I49" s="30"/>
      <c r="J49" s="30"/>
      <c r="K49" s="49"/>
      <c r="L49" s="49"/>
      <c r="M49" s="56" t="s">
        <v>96</v>
      </c>
      <c r="N49" s="32">
        <v>9152.4</v>
      </c>
      <c r="O49" s="32">
        <v>9152.4</v>
      </c>
      <c r="P49" s="33"/>
      <c r="Q49" s="33"/>
      <c r="R49" s="33">
        <f>+N49</f>
        <v>9152.4</v>
      </c>
      <c r="S49" s="33"/>
      <c r="T49" s="33"/>
      <c r="U49" s="33"/>
      <c r="V49" s="28">
        <v>126312</v>
      </c>
      <c r="W49" s="34">
        <v>0.1</v>
      </c>
      <c r="X49" s="29">
        <f t="shared" si="20"/>
        <v>8.3333333333333332E-3</v>
      </c>
      <c r="Y49" s="29"/>
      <c r="Z49" s="57"/>
      <c r="AA49" s="57"/>
      <c r="AB49" s="57"/>
      <c r="AC49" s="36">
        <f t="shared" si="35"/>
        <v>915.24</v>
      </c>
      <c r="AD49" s="38">
        <f t="shared" si="25"/>
        <v>915.24</v>
      </c>
      <c r="AE49" s="38">
        <f t="shared" si="26"/>
        <v>8237.16</v>
      </c>
      <c r="AF49" s="38">
        <v>12</v>
      </c>
      <c r="AG49" s="32">
        <f>+$N49*$W49</f>
        <v>915.24</v>
      </c>
      <c r="AH49" s="70">
        <f t="shared" si="36"/>
        <v>7321.92</v>
      </c>
      <c r="AI49" s="32">
        <f>+$N49*$W49</f>
        <v>915.24</v>
      </c>
      <c r="AJ49" s="57">
        <f t="shared" si="38"/>
        <v>6406.68</v>
      </c>
      <c r="AK49" s="57">
        <f t="shared" si="42"/>
        <v>915.24</v>
      </c>
      <c r="AL49" s="57">
        <f t="shared" si="39"/>
        <v>5491.4400000000005</v>
      </c>
      <c r="AM49" s="57">
        <f t="shared" si="37"/>
        <v>915.24</v>
      </c>
      <c r="AN49" s="57">
        <f t="shared" si="40"/>
        <v>4576.2000000000007</v>
      </c>
      <c r="AO49" s="57">
        <f t="shared" si="43"/>
        <v>0</v>
      </c>
      <c r="AP49" s="57">
        <f t="shared" si="44"/>
        <v>76.27</v>
      </c>
      <c r="AQ49" s="36">
        <f t="shared" si="16"/>
        <v>686.43</v>
      </c>
      <c r="AR49" s="52">
        <f t="shared" si="15"/>
        <v>3889.7700000000009</v>
      </c>
      <c r="AS49" s="53">
        <f t="shared" si="41"/>
        <v>228.81</v>
      </c>
      <c r="AT49" s="57" t="s">
        <v>92</v>
      </c>
      <c r="AU49" s="59"/>
      <c r="AV49" s="59"/>
      <c r="AW49" s="59"/>
    </row>
    <row r="50" spans="1:49" ht="15" outlineLevel="1" x14ac:dyDescent="0.35">
      <c r="A50" s="28">
        <v>12467</v>
      </c>
      <c r="B50" s="28">
        <v>12</v>
      </c>
      <c r="C50" s="29"/>
      <c r="D50" s="29"/>
      <c r="E50" s="28" t="s">
        <v>61</v>
      </c>
      <c r="F50" s="28"/>
      <c r="G50" s="28"/>
      <c r="H50" s="30"/>
      <c r="I50" s="30"/>
      <c r="J50" s="30"/>
      <c r="K50" s="49"/>
      <c r="L50" s="49"/>
      <c r="M50" s="56" t="s">
        <v>97</v>
      </c>
      <c r="N50" s="32">
        <v>10857.6</v>
      </c>
      <c r="O50" s="32">
        <v>10857.6</v>
      </c>
      <c r="P50" s="33"/>
      <c r="Q50" s="33"/>
      <c r="R50" s="33">
        <f>+N50</f>
        <v>10857.6</v>
      </c>
      <c r="S50" s="33"/>
      <c r="T50" s="33"/>
      <c r="U50" s="33"/>
      <c r="V50" s="28">
        <v>126312</v>
      </c>
      <c r="W50" s="34">
        <v>0.1</v>
      </c>
      <c r="X50" s="29">
        <f t="shared" si="20"/>
        <v>8.3333333333333332E-3</v>
      </c>
      <c r="Y50" s="29"/>
      <c r="Z50" s="57"/>
      <c r="AA50" s="57"/>
      <c r="AB50" s="57"/>
      <c r="AC50" s="36">
        <f t="shared" si="35"/>
        <v>1085.76</v>
      </c>
      <c r="AD50" s="38">
        <f t="shared" si="25"/>
        <v>1085.76</v>
      </c>
      <c r="AE50" s="38">
        <f t="shared" si="26"/>
        <v>9771.84</v>
      </c>
      <c r="AF50" s="38">
        <v>12</v>
      </c>
      <c r="AG50" s="32">
        <f>+$N50*$W50</f>
        <v>1085.76</v>
      </c>
      <c r="AH50" s="70">
        <f t="shared" si="36"/>
        <v>8686.08</v>
      </c>
      <c r="AI50" s="32">
        <f>+$N50*$W50</f>
        <v>1085.76</v>
      </c>
      <c r="AJ50" s="57">
        <f t="shared" si="38"/>
        <v>7600.32</v>
      </c>
      <c r="AK50" s="57">
        <f t="shared" si="42"/>
        <v>1085.76</v>
      </c>
      <c r="AL50" s="57">
        <f t="shared" si="39"/>
        <v>6514.5599999999995</v>
      </c>
      <c r="AM50" s="57">
        <f t="shared" si="37"/>
        <v>1085.76</v>
      </c>
      <c r="AN50" s="57">
        <f t="shared" si="40"/>
        <v>5428.7999999999993</v>
      </c>
      <c r="AO50" s="57">
        <f t="shared" si="43"/>
        <v>0</v>
      </c>
      <c r="AP50" s="57">
        <f t="shared" si="44"/>
        <v>90.48</v>
      </c>
      <c r="AQ50" s="36">
        <f t="shared" si="16"/>
        <v>814.32</v>
      </c>
      <c r="AR50" s="52">
        <f t="shared" si="15"/>
        <v>4614.4799999999996</v>
      </c>
      <c r="AS50" s="53">
        <f t="shared" si="41"/>
        <v>271.44</v>
      </c>
      <c r="AT50" s="57" t="s">
        <v>92</v>
      </c>
      <c r="AU50" s="59"/>
      <c r="AV50" s="59"/>
      <c r="AW50" s="59"/>
    </row>
    <row r="51" spans="1:49" ht="15" outlineLevel="1" x14ac:dyDescent="0.35">
      <c r="A51" s="28">
        <v>12467</v>
      </c>
      <c r="B51" s="28">
        <v>6</v>
      </c>
      <c r="C51" s="29"/>
      <c r="D51" s="29"/>
      <c r="E51" s="28"/>
      <c r="F51" s="28" t="s">
        <v>61</v>
      </c>
      <c r="G51" s="28"/>
      <c r="H51" s="30"/>
      <c r="I51" s="30"/>
      <c r="J51" s="30"/>
      <c r="K51" s="49"/>
      <c r="L51" s="49"/>
      <c r="M51" s="56" t="s">
        <v>98</v>
      </c>
      <c r="N51" s="32">
        <f>12632.18*1.16</f>
        <v>14653.328799999999</v>
      </c>
      <c r="O51" s="32">
        <v>14653.328799999999</v>
      </c>
      <c r="P51" s="33"/>
      <c r="Q51" s="33"/>
      <c r="R51" s="33"/>
      <c r="S51" s="33">
        <f t="shared" ref="S51:S58" si="45">+N51</f>
        <v>14653.328799999999</v>
      </c>
      <c r="T51" s="33"/>
      <c r="U51" s="33"/>
      <c r="V51" s="28">
        <v>126312</v>
      </c>
      <c r="W51" s="34">
        <v>0.1</v>
      </c>
      <c r="X51" s="29">
        <f t="shared" si="20"/>
        <v>8.3333333333333332E-3</v>
      </c>
      <c r="Y51" s="29"/>
      <c r="Z51" s="57"/>
      <c r="AA51" s="57"/>
      <c r="AB51" s="57"/>
      <c r="AC51" s="36"/>
      <c r="AD51" s="38"/>
      <c r="AE51" s="38"/>
      <c r="AF51" s="51">
        <v>6</v>
      </c>
      <c r="AG51" s="32">
        <f t="shared" ref="AG51:AG58" si="46">+N51*W51/12*AF51</f>
        <v>732.66643999999997</v>
      </c>
      <c r="AH51" s="70">
        <f t="shared" ref="AH51:AH58" si="47">+N51-AG51</f>
        <v>13920.662359999998</v>
      </c>
      <c r="AI51" s="32">
        <f t="shared" ref="AI51:AI58" si="48">+AH51*W51</f>
        <v>1392.0662359999999</v>
      </c>
      <c r="AJ51" s="57">
        <f t="shared" si="38"/>
        <v>12528.596123999998</v>
      </c>
      <c r="AK51" s="57">
        <f t="shared" si="42"/>
        <v>1465.3328799999999</v>
      </c>
      <c r="AL51" s="57">
        <f t="shared" si="39"/>
        <v>11063.263243999998</v>
      </c>
      <c r="AM51" s="57">
        <f t="shared" si="37"/>
        <v>1465.3328799999999</v>
      </c>
      <c r="AN51" s="57">
        <f t="shared" si="40"/>
        <v>9597.930363999998</v>
      </c>
      <c r="AO51" s="57">
        <f t="shared" si="43"/>
        <v>0</v>
      </c>
      <c r="AP51" s="57">
        <f t="shared" si="44"/>
        <v>122.11107333333332</v>
      </c>
      <c r="AQ51" s="36">
        <f t="shared" si="16"/>
        <v>1098.9996599999999</v>
      </c>
      <c r="AR51" s="52">
        <f t="shared" si="15"/>
        <v>8498.9307039999985</v>
      </c>
      <c r="AS51" s="53">
        <f t="shared" si="41"/>
        <v>366.33321999999998</v>
      </c>
      <c r="AT51" s="59"/>
      <c r="AU51" s="59"/>
      <c r="AV51" s="59"/>
      <c r="AW51" s="59"/>
    </row>
    <row r="52" spans="1:49" ht="15" outlineLevel="1" x14ac:dyDescent="0.35">
      <c r="A52" s="28">
        <v>12467</v>
      </c>
      <c r="B52" s="28">
        <v>6</v>
      </c>
      <c r="C52" s="29"/>
      <c r="D52" s="29"/>
      <c r="E52" s="28"/>
      <c r="F52" s="28" t="s">
        <v>61</v>
      </c>
      <c r="G52" s="28"/>
      <c r="H52" s="30"/>
      <c r="I52" s="30"/>
      <c r="J52" s="30"/>
      <c r="K52" s="49"/>
      <c r="L52" s="49"/>
      <c r="M52" s="56" t="s">
        <v>99</v>
      </c>
      <c r="N52" s="32">
        <f>8964.37*1.16</f>
        <v>10398.6692</v>
      </c>
      <c r="O52" s="32">
        <v>10398.6692</v>
      </c>
      <c r="P52" s="33"/>
      <c r="Q52" s="33"/>
      <c r="R52" s="33"/>
      <c r="S52" s="33">
        <f t="shared" si="45"/>
        <v>10398.6692</v>
      </c>
      <c r="T52" s="33"/>
      <c r="U52" s="33"/>
      <c r="V52" s="28">
        <v>126312</v>
      </c>
      <c r="W52" s="34">
        <v>0.1</v>
      </c>
      <c r="X52" s="29">
        <f t="shared" si="20"/>
        <v>8.3333333333333332E-3</v>
      </c>
      <c r="Y52" s="29"/>
      <c r="Z52" s="57"/>
      <c r="AA52" s="57"/>
      <c r="AB52" s="57"/>
      <c r="AC52" s="36"/>
      <c r="AD52" s="38"/>
      <c r="AE52" s="38"/>
      <c r="AF52" s="51">
        <v>6</v>
      </c>
      <c r="AG52" s="32">
        <f t="shared" si="46"/>
        <v>519.93346000000008</v>
      </c>
      <c r="AH52" s="70">
        <f t="shared" si="47"/>
        <v>9878.7357400000001</v>
      </c>
      <c r="AI52" s="32">
        <f t="shared" si="48"/>
        <v>987.87357400000008</v>
      </c>
      <c r="AJ52" s="57">
        <f t="shared" si="38"/>
        <v>8890.8621660000008</v>
      </c>
      <c r="AK52" s="57">
        <f t="shared" si="42"/>
        <v>1039.8669200000002</v>
      </c>
      <c r="AL52" s="57">
        <f t="shared" si="39"/>
        <v>7850.9952460000004</v>
      </c>
      <c r="AM52" s="57">
        <f t="shared" si="37"/>
        <v>1039.8669200000002</v>
      </c>
      <c r="AN52" s="57">
        <f t="shared" si="40"/>
        <v>6811.128326</v>
      </c>
      <c r="AO52" s="57">
        <f t="shared" si="43"/>
        <v>0</v>
      </c>
      <c r="AP52" s="57">
        <f t="shared" si="44"/>
        <v>86.655576666666676</v>
      </c>
      <c r="AQ52" s="36">
        <f t="shared" si="16"/>
        <v>779.90019000000007</v>
      </c>
      <c r="AR52" s="52">
        <f t="shared" si="15"/>
        <v>6031.2281359999997</v>
      </c>
      <c r="AS52" s="53">
        <f t="shared" si="41"/>
        <v>259.96673000000004</v>
      </c>
      <c r="AT52" s="59"/>
      <c r="AU52" s="59"/>
      <c r="AV52" s="59"/>
      <c r="AW52" s="59"/>
    </row>
    <row r="53" spans="1:49" ht="15" outlineLevel="1" x14ac:dyDescent="0.35">
      <c r="A53" s="28">
        <v>12467</v>
      </c>
      <c r="B53" s="28">
        <v>6</v>
      </c>
      <c r="C53" s="29"/>
      <c r="D53" s="29"/>
      <c r="E53" s="28"/>
      <c r="F53" s="28" t="s">
        <v>61</v>
      </c>
      <c r="G53" s="28"/>
      <c r="H53" s="30"/>
      <c r="I53" s="30"/>
      <c r="J53" s="30"/>
      <c r="K53" s="49"/>
      <c r="L53" s="49"/>
      <c r="M53" s="56" t="s">
        <v>100</v>
      </c>
      <c r="N53" s="32">
        <f>6534.48*1.16</f>
        <v>7579.996799999999</v>
      </c>
      <c r="O53" s="32">
        <v>7579.996799999999</v>
      </c>
      <c r="P53" s="33"/>
      <c r="Q53" s="33"/>
      <c r="R53" s="33"/>
      <c r="S53" s="33">
        <f t="shared" si="45"/>
        <v>7579.996799999999</v>
      </c>
      <c r="T53" s="33"/>
      <c r="U53" s="33"/>
      <c r="V53" s="28">
        <v>126312</v>
      </c>
      <c r="W53" s="34">
        <v>0.1</v>
      </c>
      <c r="X53" s="29">
        <f t="shared" si="20"/>
        <v>8.3333333333333332E-3</v>
      </c>
      <c r="Y53" s="29"/>
      <c r="Z53" s="57"/>
      <c r="AA53" s="57"/>
      <c r="AB53" s="57"/>
      <c r="AC53" s="36"/>
      <c r="AD53" s="38"/>
      <c r="AE53" s="38"/>
      <c r="AF53" s="51">
        <v>6</v>
      </c>
      <c r="AG53" s="32">
        <f t="shared" si="46"/>
        <v>378.99983999999995</v>
      </c>
      <c r="AH53" s="70">
        <f t="shared" si="47"/>
        <v>7200.9969599999986</v>
      </c>
      <c r="AI53" s="32">
        <f t="shared" si="48"/>
        <v>720.09969599999988</v>
      </c>
      <c r="AJ53" s="57">
        <f t="shared" si="38"/>
        <v>6480.8972639999984</v>
      </c>
      <c r="AK53" s="57">
        <f t="shared" si="42"/>
        <v>757.9996799999999</v>
      </c>
      <c r="AL53" s="57">
        <f t="shared" si="39"/>
        <v>5722.8975839999985</v>
      </c>
      <c r="AM53" s="57">
        <f t="shared" si="37"/>
        <v>757.9996799999999</v>
      </c>
      <c r="AN53" s="57">
        <f t="shared" si="40"/>
        <v>4964.8979039999986</v>
      </c>
      <c r="AO53" s="57">
        <f t="shared" si="43"/>
        <v>0</v>
      </c>
      <c r="AP53" s="57">
        <f t="shared" si="44"/>
        <v>63.166639999999994</v>
      </c>
      <c r="AQ53" s="36">
        <f t="shared" si="16"/>
        <v>568.49975999999992</v>
      </c>
      <c r="AR53" s="52">
        <f t="shared" si="15"/>
        <v>4396.3981439999989</v>
      </c>
      <c r="AS53" s="53">
        <f t="shared" si="41"/>
        <v>189.49991999999997</v>
      </c>
      <c r="AT53" s="59"/>
      <c r="AU53" s="59"/>
      <c r="AV53" s="59"/>
      <c r="AW53" s="59"/>
    </row>
    <row r="54" spans="1:49" ht="15" outlineLevel="1" x14ac:dyDescent="0.35">
      <c r="A54" s="28">
        <v>12467</v>
      </c>
      <c r="B54" s="28">
        <v>6</v>
      </c>
      <c r="C54" s="29"/>
      <c r="D54" s="29"/>
      <c r="E54" s="28"/>
      <c r="F54" s="28" t="s">
        <v>61</v>
      </c>
      <c r="G54" s="28"/>
      <c r="H54" s="30"/>
      <c r="I54" s="30"/>
      <c r="J54" s="30"/>
      <c r="K54" s="49"/>
      <c r="L54" s="49"/>
      <c r="M54" s="56" t="s">
        <v>101</v>
      </c>
      <c r="N54" s="32">
        <v>52989.96</v>
      </c>
      <c r="O54" s="32">
        <v>52989.96</v>
      </c>
      <c r="P54" s="33"/>
      <c r="Q54" s="33"/>
      <c r="R54" s="33"/>
      <c r="S54" s="33">
        <f t="shared" si="45"/>
        <v>52989.96</v>
      </c>
      <c r="T54" s="33"/>
      <c r="U54" s="33"/>
      <c r="V54" s="28">
        <v>126312</v>
      </c>
      <c r="W54" s="34">
        <v>0.1</v>
      </c>
      <c r="X54" s="29">
        <f t="shared" si="20"/>
        <v>8.3333333333333332E-3</v>
      </c>
      <c r="Y54" s="29"/>
      <c r="Z54" s="57"/>
      <c r="AA54" s="57"/>
      <c r="AB54" s="57"/>
      <c r="AC54" s="36"/>
      <c r="AD54" s="38"/>
      <c r="AE54" s="38"/>
      <c r="AF54" s="51">
        <v>6</v>
      </c>
      <c r="AG54" s="32">
        <f t="shared" si="46"/>
        <v>2649.498</v>
      </c>
      <c r="AH54" s="70">
        <f t="shared" si="47"/>
        <v>50340.462</v>
      </c>
      <c r="AI54" s="32">
        <f t="shared" si="48"/>
        <v>5034.0462000000007</v>
      </c>
      <c r="AJ54" s="57">
        <f t="shared" si="38"/>
        <v>45306.415800000002</v>
      </c>
      <c r="AK54" s="57">
        <f t="shared" si="42"/>
        <v>5298.9960000000001</v>
      </c>
      <c r="AL54" s="57">
        <f t="shared" si="39"/>
        <v>40007.419800000003</v>
      </c>
      <c r="AM54" s="57">
        <f t="shared" si="37"/>
        <v>5298.9960000000001</v>
      </c>
      <c r="AN54" s="57">
        <f t="shared" si="40"/>
        <v>34708.423800000004</v>
      </c>
      <c r="AO54" s="57">
        <f t="shared" si="43"/>
        <v>0</v>
      </c>
      <c r="AP54" s="57">
        <f t="shared" si="44"/>
        <v>441.58300000000003</v>
      </c>
      <c r="AQ54" s="36">
        <f t="shared" si="16"/>
        <v>3974.2470000000003</v>
      </c>
      <c r="AR54" s="52">
        <f t="shared" si="15"/>
        <v>30734.176800000005</v>
      </c>
      <c r="AS54" s="53">
        <f t="shared" si="41"/>
        <v>1324.749</v>
      </c>
      <c r="AT54" s="59"/>
      <c r="AU54" s="59"/>
      <c r="AV54" s="59"/>
      <c r="AW54" s="59"/>
    </row>
    <row r="55" spans="1:49" ht="15" outlineLevel="1" x14ac:dyDescent="0.35">
      <c r="A55" s="28">
        <v>12467</v>
      </c>
      <c r="B55" s="28">
        <v>6</v>
      </c>
      <c r="C55" s="29"/>
      <c r="D55" s="29"/>
      <c r="E55" s="28"/>
      <c r="F55" s="28" t="s">
        <v>61</v>
      </c>
      <c r="G55" s="28"/>
      <c r="H55" s="30"/>
      <c r="I55" s="30"/>
      <c r="J55" s="30"/>
      <c r="K55" s="49"/>
      <c r="L55" s="49"/>
      <c r="M55" s="56" t="s">
        <v>102</v>
      </c>
      <c r="N55" s="32">
        <v>50000</v>
      </c>
      <c r="O55" s="32">
        <v>50000</v>
      </c>
      <c r="P55" s="33"/>
      <c r="Q55" s="33"/>
      <c r="R55" s="33"/>
      <c r="S55" s="33">
        <f t="shared" si="45"/>
        <v>50000</v>
      </c>
      <c r="T55" s="33"/>
      <c r="U55" s="33"/>
      <c r="V55" s="28">
        <v>126312</v>
      </c>
      <c r="W55" s="34">
        <v>0.1</v>
      </c>
      <c r="X55" s="29">
        <f t="shared" si="20"/>
        <v>8.3333333333333332E-3</v>
      </c>
      <c r="Y55" s="29"/>
      <c r="Z55" s="57"/>
      <c r="AA55" s="57"/>
      <c r="AB55" s="57"/>
      <c r="AC55" s="36"/>
      <c r="AD55" s="38"/>
      <c r="AE55" s="38"/>
      <c r="AF55" s="51">
        <v>6</v>
      </c>
      <c r="AG55" s="32">
        <f t="shared" si="46"/>
        <v>2500</v>
      </c>
      <c r="AH55" s="70">
        <f t="shared" si="47"/>
        <v>47500</v>
      </c>
      <c r="AI55" s="32">
        <f t="shared" si="48"/>
        <v>4750</v>
      </c>
      <c r="AJ55" s="57">
        <f t="shared" si="38"/>
        <v>42750</v>
      </c>
      <c r="AK55" s="57">
        <f t="shared" si="42"/>
        <v>5000</v>
      </c>
      <c r="AL55" s="57">
        <f t="shared" si="39"/>
        <v>37750</v>
      </c>
      <c r="AM55" s="57">
        <f t="shared" si="37"/>
        <v>5000</v>
      </c>
      <c r="AN55" s="57">
        <f t="shared" si="40"/>
        <v>32750</v>
      </c>
      <c r="AO55" s="57">
        <f t="shared" si="43"/>
        <v>0</v>
      </c>
      <c r="AP55" s="57">
        <f t="shared" si="44"/>
        <v>416.66666666666669</v>
      </c>
      <c r="AQ55" s="36">
        <f t="shared" si="16"/>
        <v>3750</v>
      </c>
      <c r="AR55" s="52">
        <f t="shared" si="15"/>
        <v>29000</v>
      </c>
      <c r="AS55" s="53">
        <f t="shared" si="41"/>
        <v>1250</v>
      </c>
      <c r="AT55" s="59"/>
      <c r="AU55" s="59"/>
      <c r="AV55" s="59"/>
      <c r="AW55" s="59"/>
    </row>
    <row r="56" spans="1:49" ht="15" outlineLevel="1" x14ac:dyDescent="0.35">
      <c r="A56" s="28">
        <v>12467</v>
      </c>
      <c r="B56" s="28">
        <v>11</v>
      </c>
      <c r="C56" s="29"/>
      <c r="D56" s="29"/>
      <c r="E56" s="28"/>
      <c r="F56" s="28" t="s">
        <v>61</v>
      </c>
      <c r="G56" s="28"/>
      <c r="H56" s="30"/>
      <c r="I56" s="30"/>
      <c r="J56" s="30"/>
      <c r="K56" s="49"/>
      <c r="L56" s="49"/>
      <c r="M56" s="56" t="s">
        <v>103</v>
      </c>
      <c r="N56" s="32">
        <f>15200*1.16</f>
        <v>17632</v>
      </c>
      <c r="O56" s="32">
        <v>17632</v>
      </c>
      <c r="P56" s="33"/>
      <c r="Q56" s="33"/>
      <c r="R56" s="33"/>
      <c r="S56" s="33">
        <f t="shared" si="45"/>
        <v>17632</v>
      </c>
      <c r="T56" s="33"/>
      <c r="U56" s="33"/>
      <c r="V56" s="28">
        <v>126312</v>
      </c>
      <c r="W56" s="34">
        <v>0.1</v>
      </c>
      <c r="X56" s="29">
        <f t="shared" si="20"/>
        <v>8.3333333333333332E-3</v>
      </c>
      <c r="Y56" s="29"/>
      <c r="Z56" s="57"/>
      <c r="AA56" s="57"/>
      <c r="AB56" s="57"/>
      <c r="AC56" s="36"/>
      <c r="AD56" s="38"/>
      <c r="AE56" s="38"/>
      <c r="AF56" s="51">
        <v>2</v>
      </c>
      <c r="AG56" s="32">
        <f t="shared" si="46"/>
        <v>293.86666666666667</v>
      </c>
      <c r="AH56" s="70">
        <f t="shared" si="47"/>
        <v>17338.133333333335</v>
      </c>
      <c r="AI56" s="32">
        <f t="shared" si="48"/>
        <v>1733.8133333333335</v>
      </c>
      <c r="AJ56" s="57">
        <f>+AH56-AI56</f>
        <v>15604.320000000002</v>
      </c>
      <c r="AK56" s="57">
        <f t="shared" si="42"/>
        <v>1763.2</v>
      </c>
      <c r="AL56" s="57">
        <f t="shared" si="39"/>
        <v>13841.12</v>
      </c>
      <c r="AM56" s="57">
        <f t="shared" si="37"/>
        <v>1763.2</v>
      </c>
      <c r="AN56" s="57">
        <f t="shared" si="40"/>
        <v>12077.92</v>
      </c>
      <c r="AO56" s="57">
        <f t="shared" si="43"/>
        <v>0</v>
      </c>
      <c r="AP56" s="57">
        <f t="shared" si="44"/>
        <v>146.93333333333334</v>
      </c>
      <c r="AQ56" s="36">
        <f t="shared" si="16"/>
        <v>1322.4</v>
      </c>
      <c r="AR56" s="52">
        <f t="shared" si="15"/>
        <v>10755.52</v>
      </c>
      <c r="AS56" s="53">
        <f t="shared" si="41"/>
        <v>440.8</v>
      </c>
      <c r="AT56" s="59"/>
      <c r="AU56" s="59"/>
      <c r="AV56" s="59"/>
      <c r="AW56" s="59"/>
    </row>
    <row r="57" spans="1:49" ht="15" outlineLevel="1" x14ac:dyDescent="0.35">
      <c r="A57" s="28">
        <v>12467</v>
      </c>
      <c r="B57" s="28">
        <v>11</v>
      </c>
      <c r="C57" s="29"/>
      <c r="D57" s="29"/>
      <c r="E57" s="28"/>
      <c r="F57" s="28" t="s">
        <v>61</v>
      </c>
      <c r="G57" s="28"/>
      <c r="H57" s="30"/>
      <c r="I57" s="30"/>
      <c r="J57" s="30"/>
      <c r="K57" s="49"/>
      <c r="L57" s="49"/>
      <c r="M57" s="56" t="s">
        <v>103</v>
      </c>
      <c r="N57" s="32">
        <f>15200*1.16</f>
        <v>17632</v>
      </c>
      <c r="O57" s="32">
        <v>17632</v>
      </c>
      <c r="P57" s="33"/>
      <c r="Q57" s="33"/>
      <c r="R57" s="33"/>
      <c r="S57" s="33">
        <f t="shared" si="45"/>
        <v>17632</v>
      </c>
      <c r="T57" s="33"/>
      <c r="U57" s="33"/>
      <c r="V57" s="28">
        <v>126312</v>
      </c>
      <c r="W57" s="34">
        <v>0.1</v>
      </c>
      <c r="X57" s="29">
        <f t="shared" si="20"/>
        <v>8.3333333333333332E-3</v>
      </c>
      <c r="Y57" s="29"/>
      <c r="Z57" s="57"/>
      <c r="AA57" s="57"/>
      <c r="AB57" s="57"/>
      <c r="AC57" s="36"/>
      <c r="AD57" s="38"/>
      <c r="AE57" s="38"/>
      <c r="AF57" s="51">
        <v>2</v>
      </c>
      <c r="AG57" s="32">
        <f t="shared" si="46"/>
        <v>293.86666666666667</v>
      </c>
      <c r="AH57" s="70">
        <f t="shared" si="47"/>
        <v>17338.133333333335</v>
      </c>
      <c r="AI57" s="32">
        <f t="shared" si="48"/>
        <v>1733.8133333333335</v>
      </c>
      <c r="AJ57" s="57">
        <f>+AH57-AI57</f>
        <v>15604.320000000002</v>
      </c>
      <c r="AK57" s="57">
        <f t="shared" si="42"/>
        <v>1763.2</v>
      </c>
      <c r="AL57" s="57">
        <f t="shared" si="39"/>
        <v>13841.12</v>
      </c>
      <c r="AM57" s="57">
        <f t="shared" si="37"/>
        <v>1763.2</v>
      </c>
      <c r="AN57" s="57">
        <f t="shared" si="40"/>
        <v>12077.92</v>
      </c>
      <c r="AO57" s="57">
        <f t="shared" si="43"/>
        <v>0</v>
      </c>
      <c r="AP57" s="57">
        <f t="shared" si="44"/>
        <v>146.93333333333334</v>
      </c>
      <c r="AQ57" s="36">
        <f t="shared" si="16"/>
        <v>1322.4</v>
      </c>
      <c r="AR57" s="52">
        <f t="shared" si="15"/>
        <v>10755.52</v>
      </c>
      <c r="AS57" s="53">
        <f t="shared" si="41"/>
        <v>440.8</v>
      </c>
      <c r="AT57" s="59"/>
      <c r="AU57" s="59"/>
      <c r="AV57" s="59"/>
      <c r="AW57" s="59"/>
    </row>
    <row r="58" spans="1:49" ht="15" outlineLevel="1" x14ac:dyDescent="0.35">
      <c r="A58" s="28">
        <v>12467</v>
      </c>
      <c r="B58" s="28">
        <v>11</v>
      </c>
      <c r="C58" s="29"/>
      <c r="D58" s="29"/>
      <c r="E58" s="28"/>
      <c r="F58" s="28" t="s">
        <v>61</v>
      </c>
      <c r="G58" s="28"/>
      <c r="H58" s="30"/>
      <c r="I58" s="30"/>
      <c r="J58" s="30"/>
      <c r="K58" s="49"/>
      <c r="L58" s="49"/>
      <c r="M58" s="56" t="s">
        <v>104</v>
      </c>
      <c r="N58" s="32">
        <f>9436.9*1.16</f>
        <v>10946.803999999998</v>
      </c>
      <c r="O58" s="32">
        <v>10946.803999999998</v>
      </c>
      <c r="P58" s="33"/>
      <c r="Q58" s="33"/>
      <c r="R58" s="33"/>
      <c r="S58" s="33">
        <f t="shared" si="45"/>
        <v>10946.803999999998</v>
      </c>
      <c r="T58" s="33"/>
      <c r="U58" s="33"/>
      <c r="V58" s="28">
        <v>126312</v>
      </c>
      <c r="W58" s="34">
        <v>0.1</v>
      </c>
      <c r="X58" s="29">
        <f t="shared" si="20"/>
        <v>8.3333333333333332E-3</v>
      </c>
      <c r="Y58" s="29"/>
      <c r="Z58" s="57"/>
      <c r="AA58" s="57"/>
      <c r="AB58" s="57"/>
      <c r="AC58" s="36"/>
      <c r="AD58" s="38"/>
      <c r="AE58" s="38"/>
      <c r="AF58" s="51">
        <v>2</v>
      </c>
      <c r="AG58" s="32">
        <f t="shared" si="46"/>
        <v>182.44673333333333</v>
      </c>
      <c r="AH58" s="70">
        <f t="shared" si="47"/>
        <v>10764.357266666664</v>
      </c>
      <c r="AI58" s="32">
        <f t="shared" si="48"/>
        <v>1076.4357266666664</v>
      </c>
      <c r="AJ58" s="57">
        <f>+AH58-AI58</f>
        <v>9687.9215399999975</v>
      </c>
      <c r="AK58" s="57">
        <f t="shared" si="42"/>
        <v>1094.6804</v>
      </c>
      <c r="AL58" s="57">
        <f t="shared" si="39"/>
        <v>8593.2411399999983</v>
      </c>
      <c r="AM58" s="57">
        <f t="shared" si="37"/>
        <v>1094.6804</v>
      </c>
      <c r="AN58" s="57">
        <f t="shared" si="40"/>
        <v>7498.5607399999981</v>
      </c>
      <c r="AO58" s="57">
        <f t="shared" si="43"/>
        <v>0</v>
      </c>
      <c r="AP58" s="57">
        <f t="shared" si="44"/>
        <v>91.223366666666664</v>
      </c>
      <c r="AQ58" s="36">
        <f t="shared" si="16"/>
        <v>821.01029999999992</v>
      </c>
      <c r="AR58" s="52">
        <f t="shared" si="15"/>
        <v>6677.5504399999982</v>
      </c>
      <c r="AS58" s="53">
        <f t="shared" si="41"/>
        <v>273.67009999999999</v>
      </c>
      <c r="AT58" s="59"/>
      <c r="AU58" s="59"/>
      <c r="AV58" s="59"/>
      <c r="AW58" s="59"/>
    </row>
    <row r="59" spans="1:49" ht="15" outlineLevel="1" x14ac:dyDescent="0.35">
      <c r="A59" s="28">
        <v>12467</v>
      </c>
      <c r="B59" s="28">
        <v>1</v>
      </c>
      <c r="C59" s="29"/>
      <c r="D59" s="29"/>
      <c r="E59" s="28"/>
      <c r="F59" s="28"/>
      <c r="G59" s="28" t="s">
        <v>61</v>
      </c>
      <c r="H59" s="30"/>
      <c r="I59" s="30"/>
      <c r="J59" s="30"/>
      <c r="K59" s="49"/>
      <c r="L59" s="49"/>
      <c r="M59" s="56" t="s">
        <v>105</v>
      </c>
      <c r="N59" s="32">
        <v>59160</v>
      </c>
      <c r="O59" s="32">
        <v>59160</v>
      </c>
      <c r="P59" s="33"/>
      <c r="Q59" s="33"/>
      <c r="R59" s="33"/>
      <c r="S59" s="33"/>
      <c r="T59" s="33">
        <f t="shared" ref="T59:T82" si="49">+N59</f>
        <v>59160</v>
      </c>
      <c r="U59" s="33"/>
      <c r="V59" s="28">
        <v>126312</v>
      </c>
      <c r="W59" s="34">
        <v>0.1</v>
      </c>
      <c r="X59" s="29">
        <f t="shared" si="20"/>
        <v>8.3333333333333332E-3</v>
      </c>
      <c r="Y59" s="29"/>
      <c r="Z59" s="57"/>
      <c r="AA59" s="57"/>
      <c r="AB59" s="57"/>
      <c r="AC59" s="36"/>
      <c r="AD59" s="38"/>
      <c r="AE59" s="38"/>
      <c r="AF59" s="51">
        <v>11</v>
      </c>
      <c r="AG59" s="32"/>
      <c r="AH59" s="70">
        <v>0</v>
      </c>
      <c r="AI59" s="32">
        <f t="shared" ref="AI59:AI65" si="50">+N59*X59*AF59</f>
        <v>5423</v>
      </c>
      <c r="AJ59" s="57">
        <f t="shared" ref="AJ59:AJ65" si="51">+N59-AI59</f>
        <v>53737</v>
      </c>
      <c r="AK59" s="57">
        <f t="shared" si="42"/>
        <v>5916</v>
      </c>
      <c r="AL59" s="57">
        <f t="shared" si="39"/>
        <v>47821</v>
      </c>
      <c r="AM59" s="57">
        <f t="shared" si="37"/>
        <v>5916</v>
      </c>
      <c r="AN59" s="57">
        <f t="shared" si="40"/>
        <v>41905</v>
      </c>
      <c r="AO59" s="57">
        <f t="shared" si="43"/>
        <v>0</v>
      </c>
      <c r="AP59" s="57">
        <f t="shared" si="44"/>
        <v>493</v>
      </c>
      <c r="AQ59" s="36">
        <f t="shared" si="16"/>
        <v>4437</v>
      </c>
      <c r="AR59" s="52">
        <f t="shared" si="15"/>
        <v>37468</v>
      </c>
      <c r="AS59" s="53">
        <f t="shared" si="41"/>
        <v>1479</v>
      </c>
      <c r="AT59" s="59"/>
      <c r="AU59" s="59"/>
      <c r="AV59" s="59"/>
      <c r="AW59" s="59"/>
    </row>
    <row r="60" spans="1:49" ht="15" outlineLevel="1" x14ac:dyDescent="0.35">
      <c r="A60" s="28">
        <v>12467</v>
      </c>
      <c r="B60" s="28">
        <v>1</v>
      </c>
      <c r="C60" s="29"/>
      <c r="D60" s="29"/>
      <c r="E60" s="28"/>
      <c r="F60" s="28"/>
      <c r="G60" s="28" t="s">
        <v>61</v>
      </c>
      <c r="H60" s="30"/>
      <c r="I60" s="30"/>
      <c r="J60" s="30"/>
      <c r="K60" s="49"/>
      <c r="L60" s="49"/>
      <c r="M60" s="56" t="s">
        <v>106</v>
      </c>
      <c r="N60" s="32">
        <f>20490/2</f>
        <v>10245</v>
      </c>
      <c r="O60" s="32">
        <v>10245</v>
      </c>
      <c r="P60" s="33"/>
      <c r="Q60" s="33"/>
      <c r="R60" s="33"/>
      <c r="S60" s="33"/>
      <c r="T60" s="33">
        <f t="shared" si="49"/>
        <v>10245</v>
      </c>
      <c r="U60" s="33"/>
      <c r="V60" s="28">
        <v>126312</v>
      </c>
      <c r="W60" s="34">
        <v>0.1</v>
      </c>
      <c r="X60" s="29">
        <f t="shared" si="20"/>
        <v>8.3333333333333332E-3</v>
      </c>
      <c r="Y60" s="29"/>
      <c r="Z60" s="57"/>
      <c r="AA60" s="57"/>
      <c r="AB60" s="57"/>
      <c r="AC60" s="36"/>
      <c r="AD60" s="38"/>
      <c r="AE60" s="38"/>
      <c r="AF60" s="51">
        <v>11</v>
      </c>
      <c r="AG60" s="32"/>
      <c r="AH60" s="70">
        <v>0</v>
      </c>
      <c r="AI60" s="32">
        <f t="shared" si="50"/>
        <v>939.125</v>
      </c>
      <c r="AJ60" s="57">
        <f t="shared" si="51"/>
        <v>9305.875</v>
      </c>
      <c r="AK60" s="57">
        <f t="shared" si="42"/>
        <v>1024.5</v>
      </c>
      <c r="AL60" s="57">
        <f t="shared" si="39"/>
        <v>8281.375</v>
      </c>
      <c r="AM60" s="57">
        <f t="shared" si="37"/>
        <v>1024.5</v>
      </c>
      <c r="AN60" s="57">
        <f t="shared" si="40"/>
        <v>7256.875</v>
      </c>
      <c r="AO60" s="57">
        <f t="shared" si="43"/>
        <v>0</v>
      </c>
      <c r="AP60" s="57">
        <f t="shared" si="44"/>
        <v>85.375</v>
      </c>
      <c r="AQ60" s="36">
        <f t="shared" si="16"/>
        <v>768.375</v>
      </c>
      <c r="AR60" s="52">
        <f t="shared" si="15"/>
        <v>6488.5</v>
      </c>
      <c r="AS60" s="53">
        <f t="shared" si="41"/>
        <v>256.125</v>
      </c>
      <c r="AT60" s="59"/>
      <c r="AU60" s="59"/>
      <c r="AV60" s="59"/>
      <c r="AW60" s="59"/>
    </row>
    <row r="61" spans="1:49" ht="15" outlineLevel="1" x14ac:dyDescent="0.35">
      <c r="A61" s="28">
        <v>12467</v>
      </c>
      <c r="B61" s="28">
        <v>1</v>
      </c>
      <c r="C61" s="29"/>
      <c r="D61" s="29"/>
      <c r="E61" s="28"/>
      <c r="F61" s="28"/>
      <c r="G61" s="28" t="s">
        <v>61</v>
      </c>
      <c r="H61" s="30"/>
      <c r="I61" s="30"/>
      <c r="J61" s="30"/>
      <c r="K61" s="49"/>
      <c r="L61" s="49"/>
      <c r="M61" s="56" t="s">
        <v>106</v>
      </c>
      <c r="N61" s="32">
        <f>20490/2</f>
        <v>10245</v>
      </c>
      <c r="O61" s="32">
        <v>10245</v>
      </c>
      <c r="P61" s="33"/>
      <c r="Q61" s="33"/>
      <c r="R61" s="33"/>
      <c r="S61" s="33"/>
      <c r="T61" s="33">
        <f t="shared" si="49"/>
        <v>10245</v>
      </c>
      <c r="U61" s="33"/>
      <c r="V61" s="28">
        <v>126312</v>
      </c>
      <c r="W61" s="34">
        <v>0.1</v>
      </c>
      <c r="X61" s="29">
        <f t="shared" si="20"/>
        <v>8.3333333333333332E-3</v>
      </c>
      <c r="Y61" s="29"/>
      <c r="Z61" s="57"/>
      <c r="AA61" s="57"/>
      <c r="AB61" s="57"/>
      <c r="AC61" s="36"/>
      <c r="AD61" s="38"/>
      <c r="AE61" s="38"/>
      <c r="AF61" s="51">
        <v>11</v>
      </c>
      <c r="AG61" s="32"/>
      <c r="AH61" s="70">
        <v>0</v>
      </c>
      <c r="AI61" s="32">
        <f t="shared" si="50"/>
        <v>939.125</v>
      </c>
      <c r="AJ61" s="57">
        <f t="shared" si="51"/>
        <v>9305.875</v>
      </c>
      <c r="AK61" s="57">
        <f t="shared" si="42"/>
        <v>1024.5</v>
      </c>
      <c r="AL61" s="57">
        <f t="shared" si="39"/>
        <v>8281.375</v>
      </c>
      <c r="AM61" s="57">
        <f t="shared" si="37"/>
        <v>1024.5</v>
      </c>
      <c r="AN61" s="57">
        <f t="shared" si="40"/>
        <v>7256.875</v>
      </c>
      <c r="AO61" s="57">
        <f t="shared" si="43"/>
        <v>0</v>
      </c>
      <c r="AP61" s="57">
        <f t="shared" si="44"/>
        <v>85.375</v>
      </c>
      <c r="AQ61" s="36">
        <f t="shared" si="16"/>
        <v>768.375</v>
      </c>
      <c r="AR61" s="52">
        <f t="shared" si="15"/>
        <v>6488.5</v>
      </c>
      <c r="AS61" s="53">
        <f t="shared" si="41"/>
        <v>256.125</v>
      </c>
      <c r="AT61" s="59"/>
      <c r="AU61" s="59"/>
      <c r="AV61" s="59"/>
      <c r="AW61" s="59"/>
    </row>
    <row r="62" spans="1:49" ht="15" outlineLevel="1" x14ac:dyDescent="0.35">
      <c r="A62" s="28">
        <v>12467</v>
      </c>
      <c r="B62" s="28">
        <v>2</v>
      </c>
      <c r="C62" s="29"/>
      <c r="D62" s="29"/>
      <c r="E62" s="28"/>
      <c r="F62" s="28"/>
      <c r="G62" s="28" t="s">
        <v>61</v>
      </c>
      <c r="H62" s="30"/>
      <c r="I62" s="30"/>
      <c r="J62" s="30"/>
      <c r="K62" s="49"/>
      <c r="L62" s="49"/>
      <c r="M62" s="56" t="s">
        <v>107</v>
      </c>
      <c r="N62" s="32">
        <v>49416</v>
      </c>
      <c r="O62" s="32">
        <v>49416</v>
      </c>
      <c r="P62" s="33"/>
      <c r="Q62" s="33"/>
      <c r="R62" s="33"/>
      <c r="S62" s="33"/>
      <c r="T62" s="33">
        <f t="shared" si="49"/>
        <v>49416</v>
      </c>
      <c r="U62" s="33"/>
      <c r="V62" s="28">
        <v>126312</v>
      </c>
      <c r="W62" s="34">
        <v>0.1</v>
      </c>
      <c r="X62" s="29">
        <f t="shared" si="20"/>
        <v>8.3333333333333332E-3</v>
      </c>
      <c r="Y62" s="29"/>
      <c r="Z62" s="57"/>
      <c r="AA62" s="57"/>
      <c r="AB62" s="57"/>
      <c r="AC62" s="36"/>
      <c r="AD62" s="38"/>
      <c r="AE62" s="38"/>
      <c r="AF62" s="51">
        <v>10</v>
      </c>
      <c r="AG62" s="32"/>
      <c r="AH62" s="70">
        <v>0</v>
      </c>
      <c r="AI62" s="32">
        <f t="shared" si="50"/>
        <v>4118</v>
      </c>
      <c r="AJ62" s="57">
        <f t="shared" si="51"/>
        <v>45298</v>
      </c>
      <c r="AK62" s="57">
        <f t="shared" si="42"/>
        <v>4941.6000000000004</v>
      </c>
      <c r="AL62" s="57">
        <f t="shared" si="39"/>
        <v>40356.400000000001</v>
      </c>
      <c r="AM62" s="57">
        <f t="shared" si="37"/>
        <v>4941.6000000000004</v>
      </c>
      <c r="AN62" s="57">
        <f t="shared" si="40"/>
        <v>35414.800000000003</v>
      </c>
      <c r="AO62" s="57">
        <f t="shared" si="43"/>
        <v>0</v>
      </c>
      <c r="AP62" s="57">
        <f t="shared" si="44"/>
        <v>411.8</v>
      </c>
      <c r="AQ62" s="36">
        <f t="shared" si="16"/>
        <v>3706.2000000000003</v>
      </c>
      <c r="AR62" s="52">
        <f t="shared" si="15"/>
        <v>31708.600000000002</v>
      </c>
      <c r="AS62" s="53">
        <f t="shared" si="41"/>
        <v>1235.4000000000001</v>
      </c>
      <c r="AT62" s="59"/>
      <c r="AU62" s="59"/>
      <c r="AV62" s="59"/>
      <c r="AW62" s="59"/>
    </row>
    <row r="63" spans="1:49" ht="15" outlineLevel="1" x14ac:dyDescent="0.35">
      <c r="A63" s="28">
        <v>12467</v>
      </c>
      <c r="B63" s="28">
        <v>3</v>
      </c>
      <c r="C63" s="29"/>
      <c r="D63" s="29"/>
      <c r="E63" s="28"/>
      <c r="F63" s="28"/>
      <c r="G63" s="28" t="s">
        <v>61</v>
      </c>
      <c r="H63" s="30"/>
      <c r="I63" s="30"/>
      <c r="J63" s="30"/>
      <c r="K63" s="49"/>
      <c r="L63" s="49"/>
      <c r="M63" s="56" t="s">
        <v>108</v>
      </c>
      <c r="N63" s="32">
        <f>32572.8/3</f>
        <v>10857.6</v>
      </c>
      <c r="O63" s="32">
        <v>10857.6</v>
      </c>
      <c r="P63" s="33"/>
      <c r="Q63" s="33"/>
      <c r="R63" s="33"/>
      <c r="S63" s="33"/>
      <c r="T63" s="33">
        <f t="shared" si="49"/>
        <v>10857.6</v>
      </c>
      <c r="U63" s="33"/>
      <c r="V63" s="28">
        <v>126312</v>
      </c>
      <c r="W63" s="34">
        <v>0.1</v>
      </c>
      <c r="X63" s="29">
        <f t="shared" si="20"/>
        <v>8.3333333333333332E-3</v>
      </c>
      <c r="Y63" s="29"/>
      <c r="Z63" s="57"/>
      <c r="AA63" s="57"/>
      <c r="AB63" s="57"/>
      <c r="AC63" s="36"/>
      <c r="AD63" s="38"/>
      <c r="AE63" s="38"/>
      <c r="AF63" s="51">
        <v>9</v>
      </c>
      <c r="AG63" s="32"/>
      <c r="AH63" s="70">
        <v>0</v>
      </c>
      <c r="AI63" s="32">
        <f t="shared" si="50"/>
        <v>814.32</v>
      </c>
      <c r="AJ63" s="57">
        <f t="shared" si="51"/>
        <v>10043.280000000001</v>
      </c>
      <c r="AK63" s="57">
        <f t="shared" si="42"/>
        <v>1085.76</v>
      </c>
      <c r="AL63" s="57">
        <f t="shared" si="39"/>
        <v>8957.52</v>
      </c>
      <c r="AM63" s="57">
        <f t="shared" si="37"/>
        <v>1085.76</v>
      </c>
      <c r="AN63" s="57">
        <f t="shared" si="40"/>
        <v>7871.76</v>
      </c>
      <c r="AO63" s="57">
        <f t="shared" ref="AO63:AO65" si="52">+Y63*Q63</f>
        <v>0</v>
      </c>
      <c r="AP63" s="57">
        <f t="shared" si="44"/>
        <v>90.48</v>
      </c>
      <c r="AQ63" s="36">
        <f t="shared" si="16"/>
        <v>814.32</v>
      </c>
      <c r="AR63" s="52">
        <f t="shared" si="15"/>
        <v>7057.4400000000005</v>
      </c>
      <c r="AS63" s="53">
        <f t="shared" si="41"/>
        <v>271.44</v>
      </c>
      <c r="AT63" s="59"/>
      <c r="AU63" s="59"/>
      <c r="AV63" s="59"/>
      <c r="AW63" s="59"/>
    </row>
    <row r="64" spans="1:49" ht="15" outlineLevel="1" x14ac:dyDescent="0.35">
      <c r="A64" s="28">
        <v>12467</v>
      </c>
      <c r="B64" s="28">
        <v>3</v>
      </c>
      <c r="C64" s="29"/>
      <c r="D64" s="29"/>
      <c r="E64" s="28"/>
      <c r="F64" s="28"/>
      <c r="G64" s="28" t="s">
        <v>61</v>
      </c>
      <c r="H64" s="30"/>
      <c r="I64" s="30"/>
      <c r="J64" s="30"/>
      <c r="K64" s="49"/>
      <c r="L64" s="49"/>
      <c r="M64" s="56" t="s">
        <v>108</v>
      </c>
      <c r="N64" s="32">
        <f>32572.8/3</f>
        <v>10857.6</v>
      </c>
      <c r="O64" s="32">
        <v>10857.6</v>
      </c>
      <c r="P64" s="33"/>
      <c r="Q64" s="33"/>
      <c r="R64" s="33"/>
      <c r="S64" s="33"/>
      <c r="T64" s="33">
        <f t="shared" si="49"/>
        <v>10857.6</v>
      </c>
      <c r="U64" s="33"/>
      <c r="V64" s="28">
        <v>126312</v>
      </c>
      <c r="W64" s="34">
        <v>0.1</v>
      </c>
      <c r="X64" s="29">
        <f t="shared" si="20"/>
        <v>8.3333333333333332E-3</v>
      </c>
      <c r="Y64" s="29"/>
      <c r="Z64" s="57"/>
      <c r="AA64" s="57"/>
      <c r="AB64" s="57"/>
      <c r="AC64" s="36"/>
      <c r="AD64" s="38"/>
      <c r="AE64" s="38"/>
      <c r="AF64" s="51">
        <v>9</v>
      </c>
      <c r="AG64" s="32"/>
      <c r="AH64" s="70">
        <v>0</v>
      </c>
      <c r="AI64" s="32">
        <f t="shared" si="50"/>
        <v>814.32</v>
      </c>
      <c r="AJ64" s="57">
        <f t="shared" si="51"/>
        <v>10043.280000000001</v>
      </c>
      <c r="AK64" s="57">
        <f t="shared" si="42"/>
        <v>1085.76</v>
      </c>
      <c r="AL64" s="57">
        <f t="shared" si="39"/>
        <v>8957.52</v>
      </c>
      <c r="AM64" s="57">
        <f t="shared" si="37"/>
        <v>1085.76</v>
      </c>
      <c r="AN64" s="57">
        <f t="shared" si="40"/>
        <v>7871.76</v>
      </c>
      <c r="AO64" s="57">
        <f t="shared" si="52"/>
        <v>0</v>
      </c>
      <c r="AP64" s="57">
        <f t="shared" si="44"/>
        <v>90.48</v>
      </c>
      <c r="AQ64" s="36">
        <f t="shared" si="16"/>
        <v>814.32</v>
      </c>
      <c r="AR64" s="52">
        <f t="shared" si="15"/>
        <v>7057.4400000000005</v>
      </c>
      <c r="AS64" s="53">
        <f t="shared" si="41"/>
        <v>271.44</v>
      </c>
      <c r="AT64" s="59"/>
      <c r="AU64" s="59"/>
      <c r="AV64" s="59"/>
      <c r="AW64" s="59"/>
    </row>
    <row r="65" spans="1:49" ht="15" outlineLevel="1" x14ac:dyDescent="0.35">
      <c r="A65" s="28">
        <v>12467</v>
      </c>
      <c r="B65" s="28">
        <v>3</v>
      </c>
      <c r="C65" s="29"/>
      <c r="D65" s="29"/>
      <c r="E65" s="28"/>
      <c r="F65" s="28"/>
      <c r="G65" s="28" t="s">
        <v>61</v>
      </c>
      <c r="H65" s="30"/>
      <c r="I65" s="30"/>
      <c r="J65" s="30"/>
      <c r="K65" s="49"/>
      <c r="L65" s="49"/>
      <c r="M65" s="56" t="s">
        <v>108</v>
      </c>
      <c r="N65" s="32">
        <f>32572.8/3</f>
        <v>10857.6</v>
      </c>
      <c r="O65" s="32">
        <v>10857.6</v>
      </c>
      <c r="P65" s="33"/>
      <c r="Q65" s="33"/>
      <c r="R65" s="33"/>
      <c r="S65" s="33"/>
      <c r="T65" s="33">
        <f t="shared" si="49"/>
        <v>10857.6</v>
      </c>
      <c r="U65" s="33"/>
      <c r="V65" s="28">
        <v>126312</v>
      </c>
      <c r="W65" s="34">
        <v>0.1</v>
      </c>
      <c r="X65" s="29">
        <f t="shared" si="20"/>
        <v>8.3333333333333332E-3</v>
      </c>
      <c r="Y65" s="29"/>
      <c r="Z65" s="57"/>
      <c r="AA65" s="57"/>
      <c r="AB65" s="57"/>
      <c r="AC65" s="36"/>
      <c r="AD65" s="38"/>
      <c r="AE65" s="38"/>
      <c r="AF65" s="51">
        <v>9</v>
      </c>
      <c r="AG65" s="36"/>
      <c r="AH65" s="38">
        <v>0</v>
      </c>
      <c r="AI65" s="36">
        <f t="shared" si="50"/>
        <v>814.32</v>
      </c>
      <c r="AJ65" s="57">
        <f t="shared" si="51"/>
        <v>10043.280000000001</v>
      </c>
      <c r="AK65" s="57">
        <f t="shared" si="42"/>
        <v>1085.76</v>
      </c>
      <c r="AL65" s="57">
        <f t="shared" si="39"/>
        <v>8957.52</v>
      </c>
      <c r="AM65" s="57">
        <f t="shared" si="37"/>
        <v>1085.76</v>
      </c>
      <c r="AN65" s="57">
        <f t="shared" si="40"/>
        <v>7871.76</v>
      </c>
      <c r="AO65" s="57">
        <f t="shared" si="52"/>
        <v>0</v>
      </c>
      <c r="AP65" s="57">
        <f t="shared" si="44"/>
        <v>90.48</v>
      </c>
      <c r="AQ65" s="36">
        <f t="shared" si="16"/>
        <v>814.32</v>
      </c>
      <c r="AR65" s="52">
        <f t="shared" si="15"/>
        <v>7057.4400000000005</v>
      </c>
      <c r="AS65" s="53">
        <f t="shared" si="41"/>
        <v>271.44</v>
      </c>
      <c r="AT65" s="59"/>
      <c r="AU65" s="59"/>
      <c r="AV65" s="59"/>
      <c r="AW65" s="59"/>
    </row>
    <row r="66" spans="1:49" ht="15" outlineLevel="1" x14ac:dyDescent="0.35">
      <c r="A66" s="28">
        <v>12467</v>
      </c>
      <c r="B66" s="28">
        <v>6</v>
      </c>
      <c r="C66" s="29"/>
      <c r="D66" s="29"/>
      <c r="E66" s="29"/>
      <c r="F66" s="29"/>
      <c r="G66" s="28" t="s">
        <v>61</v>
      </c>
      <c r="H66" s="29"/>
      <c r="I66" s="29"/>
      <c r="J66" s="29"/>
      <c r="K66" s="49"/>
      <c r="L66" s="49"/>
      <c r="M66" s="73" t="s">
        <v>109</v>
      </c>
      <c r="N66" s="74">
        <v>8669319.3800000008</v>
      </c>
      <c r="O66" s="74">
        <v>8669319.3800000008</v>
      </c>
      <c r="P66" s="33"/>
      <c r="Q66" s="33"/>
      <c r="R66" s="33"/>
      <c r="S66" s="33"/>
      <c r="T66" s="33">
        <f t="shared" si="49"/>
        <v>8669319.3800000008</v>
      </c>
      <c r="U66" s="33">
        <f>+'[1]aux 23'!K21</f>
        <v>1737041.15</v>
      </c>
      <c r="V66" s="28">
        <v>126312</v>
      </c>
      <c r="W66" s="34">
        <v>0.1</v>
      </c>
      <c r="X66" s="29">
        <f t="shared" si="20"/>
        <v>8.3333333333333332E-3</v>
      </c>
      <c r="Y66" s="29"/>
      <c r="Z66" s="57"/>
      <c r="AA66" s="57"/>
      <c r="AB66" s="57"/>
      <c r="AC66" s="57"/>
      <c r="AD66" s="57"/>
      <c r="AE66" s="57"/>
      <c r="AF66" s="77">
        <v>12</v>
      </c>
      <c r="AG66" s="78"/>
      <c r="AH66" s="57">
        <v>4745575.97</v>
      </c>
      <c r="AI66" s="57">
        <f>+AH66*X66*AF66</f>
        <v>474557.59699999995</v>
      </c>
      <c r="AJ66" s="57">
        <f>+N66-AI66</f>
        <v>8194761.7830000008</v>
      </c>
      <c r="AK66" s="59">
        <f>SUM(N66+U66)*W66</f>
        <v>1040636.0530000002</v>
      </c>
      <c r="AL66" s="59">
        <f>+AJ66+U66-AK66</f>
        <v>8891166.8800000008</v>
      </c>
      <c r="AM66" s="57">
        <f t="shared" ref="AM66:AM82" si="53">+W66*N66/12*AF66</f>
        <v>866931.93800000008</v>
      </c>
      <c r="AN66" s="79">
        <f>+AL66+W66-AM66</f>
        <v>8024235.0420000004</v>
      </c>
      <c r="AO66" s="57">
        <f>+Y66*Q66/12*AH66</f>
        <v>0</v>
      </c>
      <c r="AP66" s="58">
        <f>+AM66/12</f>
        <v>72244.328166666673</v>
      </c>
      <c r="AQ66" s="36">
        <f t="shared" si="16"/>
        <v>650198.95350000006</v>
      </c>
      <c r="AR66" s="52">
        <f t="shared" si="15"/>
        <v>7374036.0885000005</v>
      </c>
      <c r="AS66" s="59"/>
      <c r="AT66" s="2" t="s">
        <v>82</v>
      </c>
      <c r="AU66" s="59"/>
      <c r="AV66" s="59"/>
      <c r="AW66" s="59"/>
    </row>
    <row r="67" spans="1:49" ht="15" outlineLevel="1" x14ac:dyDescent="0.35">
      <c r="A67" s="28">
        <v>12467</v>
      </c>
      <c r="B67" s="28">
        <v>8</v>
      </c>
      <c r="C67" s="29"/>
      <c r="D67" s="29"/>
      <c r="E67" s="29"/>
      <c r="F67" s="29"/>
      <c r="G67" s="28" t="s">
        <v>61</v>
      </c>
      <c r="H67" s="29"/>
      <c r="I67" s="29"/>
      <c r="J67" s="29"/>
      <c r="K67" s="29"/>
      <c r="L67" s="29"/>
      <c r="M67" s="73" t="s">
        <v>110</v>
      </c>
      <c r="N67" s="74">
        <v>11024634</v>
      </c>
      <c r="O67" s="74">
        <v>11024634</v>
      </c>
      <c r="P67" s="75"/>
      <c r="Q67" s="75"/>
      <c r="R67" s="75"/>
      <c r="S67" s="75"/>
      <c r="T67" s="33">
        <f t="shared" si="49"/>
        <v>11024634</v>
      </c>
      <c r="U67" s="75"/>
      <c r="V67" s="28">
        <v>126312</v>
      </c>
      <c r="W67" s="34">
        <v>0.1</v>
      </c>
      <c r="X67" s="29">
        <f t="shared" si="20"/>
        <v>8.3333333333333332E-3</v>
      </c>
      <c r="Y67" s="29"/>
      <c r="Z67" s="29"/>
      <c r="AA67" s="29"/>
      <c r="AB67" s="29"/>
      <c r="AC67" s="29"/>
      <c r="AD67" s="29"/>
      <c r="AE67" s="29"/>
      <c r="AF67" s="77">
        <v>12</v>
      </c>
      <c r="AG67" s="78"/>
      <c r="AH67" s="29"/>
      <c r="AI67" s="57">
        <f>+N67*X67*AF67</f>
        <v>1102463.3999999999</v>
      </c>
      <c r="AJ67" s="57">
        <f>+N67-AI67</f>
        <v>9922170.5999999996</v>
      </c>
      <c r="AK67" s="40">
        <f>+N67*W67</f>
        <v>1102463.4000000001</v>
      </c>
      <c r="AL67" s="76">
        <f>+AJ67-AK67</f>
        <v>8819707.1999999993</v>
      </c>
      <c r="AM67" s="57">
        <f t="shared" si="53"/>
        <v>1102463.4000000001</v>
      </c>
      <c r="AN67" s="79">
        <f>+AL67+W67-AM67</f>
        <v>7717243.8999999985</v>
      </c>
      <c r="AO67" s="57">
        <f>+Y67*Q67/12*AH67</f>
        <v>0</v>
      </c>
      <c r="AP67" s="58">
        <f>+AM67/12</f>
        <v>91871.950000000012</v>
      </c>
      <c r="AQ67" s="36">
        <f t="shared" si="16"/>
        <v>826847.55</v>
      </c>
      <c r="AR67" s="52">
        <f t="shared" si="15"/>
        <v>6890396.3499999987</v>
      </c>
      <c r="AS67" s="59"/>
      <c r="AT67" s="2" t="s">
        <v>82</v>
      </c>
    </row>
    <row r="68" spans="1:49" ht="27.6" outlineLevel="1" x14ac:dyDescent="0.35">
      <c r="A68" s="28">
        <v>12467</v>
      </c>
      <c r="B68" s="28">
        <v>3</v>
      </c>
      <c r="C68" s="29"/>
      <c r="D68" s="29"/>
      <c r="E68" s="29"/>
      <c r="F68" s="29"/>
      <c r="G68" s="28"/>
      <c r="H68" s="29"/>
      <c r="I68" s="28" t="s">
        <v>61</v>
      </c>
      <c r="J68" s="28"/>
      <c r="K68" s="29"/>
      <c r="L68" s="29"/>
      <c r="M68" s="73" t="s">
        <v>111</v>
      </c>
      <c r="N68" s="74">
        <f t="array" ref="N68">-{36000}</f>
        <v>-36000</v>
      </c>
      <c r="O68" s="74">
        <v>-36000</v>
      </c>
      <c r="P68" s="75"/>
      <c r="Q68" s="75"/>
      <c r="R68" s="75"/>
      <c r="S68" s="75"/>
      <c r="T68" s="33">
        <f t="shared" si="49"/>
        <v>-36000</v>
      </c>
      <c r="U68" s="75"/>
      <c r="V68" s="28">
        <v>126312</v>
      </c>
      <c r="W68" s="34">
        <v>0.1</v>
      </c>
      <c r="X68" s="29">
        <f t="shared" si="20"/>
        <v>8.3333333333333332E-3</v>
      </c>
      <c r="Y68" s="29"/>
      <c r="Z68" s="29"/>
      <c r="AA68" s="29"/>
      <c r="AB68" s="29"/>
      <c r="AC68" s="29"/>
      <c r="AD68" s="29"/>
      <c r="AE68" s="29"/>
      <c r="AF68" s="77">
        <v>9</v>
      </c>
      <c r="AG68" s="78"/>
      <c r="AH68" s="29"/>
      <c r="AI68" s="57"/>
      <c r="AJ68" s="57"/>
      <c r="AK68" s="40"/>
      <c r="AL68" s="76"/>
      <c r="AM68" s="57">
        <f t="shared" si="53"/>
        <v>-2700</v>
      </c>
      <c r="AN68" s="79">
        <f>+N68+W68-AM68</f>
        <v>-33299.9</v>
      </c>
      <c r="AO68" s="57">
        <f>+Y68*Q68/12*AH68</f>
        <v>0</v>
      </c>
      <c r="AP68" s="58">
        <f>+AM68/12</f>
        <v>-225</v>
      </c>
      <c r="AQ68" s="36">
        <f>+AP68*9</f>
        <v>-2025</v>
      </c>
      <c r="AR68" s="52">
        <f t="shared" si="15"/>
        <v>-31274.9</v>
      </c>
      <c r="AS68" s="59"/>
      <c r="AT68" s="2" t="s">
        <v>82</v>
      </c>
    </row>
    <row r="69" spans="1:49" ht="27.6" outlineLevel="1" x14ac:dyDescent="0.35">
      <c r="A69" s="28">
        <v>12467</v>
      </c>
      <c r="B69" s="28">
        <v>2</v>
      </c>
      <c r="C69" s="29"/>
      <c r="D69" s="29"/>
      <c r="E69" s="29"/>
      <c r="F69" s="29"/>
      <c r="G69" s="28" t="s">
        <v>61</v>
      </c>
      <c r="H69" s="29"/>
      <c r="I69" s="29"/>
      <c r="J69" s="29"/>
      <c r="K69" s="29"/>
      <c r="L69" s="29"/>
      <c r="M69" s="73" t="s">
        <v>112</v>
      </c>
      <c r="N69" s="74">
        <v>485745.77</v>
      </c>
      <c r="O69" s="74">
        <v>485745.77</v>
      </c>
      <c r="P69" s="75"/>
      <c r="Q69" s="75"/>
      <c r="R69" s="75"/>
      <c r="S69" s="75"/>
      <c r="T69" s="33">
        <f t="shared" si="49"/>
        <v>485745.77</v>
      </c>
      <c r="U69" s="75"/>
      <c r="V69" s="28">
        <v>126312</v>
      </c>
      <c r="W69" s="34">
        <v>0.1</v>
      </c>
      <c r="X69" s="29">
        <f t="shared" si="20"/>
        <v>8.3333333333333332E-3</v>
      </c>
      <c r="Y69" s="29"/>
      <c r="Z69" s="29"/>
      <c r="AA69" s="29"/>
      <c r="AB69" s="29"/>
      <c r="AC69" s="29"/>
      <c r="AD69" s="29"/>
      <c r="AE69" s="29"/>
      <c r="AF69" s="77">
        <v>10</v>
      </c>
      <c r="AG69" s="78"/>
      <c r="AH69" s="29"/>
      <c r="AI69" s="57"/>
      <c r="AJ69" s="57"/>
      <c r="AK69" s="40"/>
      <c r="AL69" s="76"/>
      <c r="AM69" s="57">
        <f t="shared" si="53"/>
        <v>40478.814166666671</v>
      </c>
      <c r="AN69" s="79">
        <f>+N69+W69-AM69</f>
        <v>445267.05583333335</v>
      </c>
      <c r="AO69" s="57">
        <f>+Y69*Q69/12*AH69</f>
        <v>0</v>
      </c>
      <c r="AP69" s="58">
        <f t="shared" ref="AP69:AP82" si="54">+AM69/12</f>
        <v>3373.2345138888891</v>
      </c>
      <c r="AQ69" s="36">
        <f t="shared" ref="AQ69:AQ108" si="55">IF((+AP69*9)&gt;AN69,AN69,(+AP69*9))</f>
        <v>30359.110625000001</v>
      </c>
      <c r="AR69" s="52">
        <f t="shared" si="15"/>
        <v>414907.94520833332</v>
      </c>
      <c r="AS69" s="59"/>
      <c r="AT69" s="2" t="s">
        <v>82</v>
      </c>
    </row>
    <row r="70" spans="1:49" ht="27.6" outlineLevel="1" x14ac:dyDescent="0.35">
      <c r="A70" s="28">
        <v>12467</v>
      </c>
      <c r="B70" s="28">
        <v>3</v>
      </c>
      <c r="C70" s="29"/>
      <c r="D70" s="29"/>
      <c r="E70" s="29"/>
      <c r="F70" s="29"/>
      <c r="G70" s="28" t="s">
        <v>61</v>
      </c>
      <c r="H70" s="29"/>
      <c r="I70" s="29"/>
      <c r="J70" s="29"/>
      <c r="K70" s="29"/>
      <c r="L70" s="29"/>
      <c r="M70" s="73" t="s">
        <v>113</v>
      </c>
      <c r="N70" s="74">
        <v>193267.54</v>
      </c>
      <c r="O70" s="74">
        <v>193267.54</v>
      </c>
      <c r="P70" s="75"/>
      <c r="Q70" s="75"/>
      <c r="R70" s="75"/>
      <c r="S70" s="75"/>
      <c r="T70" s="33">
        <f t="shared" si="49"/>
        <v>193267.54</v>
      </c>
      <c r="U70" s="75"/>
      <c r="V70" s="28">
        <v>126312</v>
      </c>
      <c r="W70" s="34">
        <v>0.1</v>
      </c>
      <c r="X70" s="29">
        <f t="shared" si="20"/>
        <v>8.3333333333333332E-3</v>
      </c>
      <c r="Y70" s="29"/>
      <c r="Z70" s="29"/>
      <c r="AA70" s="29"/>
      <c r="AB70" s="29"/>
      <c r="AC70" s="29"/>
      <c r="AD70" s="29"/>
      <c r="AE70" s="29"/>
      <c r="AF70" s="77">
        <v>9</v>
      </c>
      <c r="AG70" s="78"/>
      <c r="AH70" s="29"/>
      <c r="AI70" s="57"/>
      <c r="AJ70" s="57"/>
      <c r="AK70" s="40"/>
      <c r="AL70" s="76"/>
      <c r="AM70" s="57">
        <f t="shared" si="53"/>
        <v>14495.065500000001</v>
      </c>
      <c r="AN70" s="79">
        <f t="shared" ref="AN70:AN82" si="56">+N70+W70-AM70</f>
        <v>178772.57450000002</v>
      </c>
      <c r="AO70" s="57">
        <f t="shared" ref="AO70:AO82" si="57">+Y70*Q70/12*AH70</f>
        <v>0</v>
      </c>
      <c r="AP70" s="58">
        <f t="shared" si="54"/>
        <v>1207.9221250000001</v>
      </c>
      <c r="AQ70" s="36">
        <f t="shared" si="55"/>
        <v>10871.299125000001</v>
      </c>
      <c r="AR70" s="52">
        <f t="shared" si="15"/>
        <v>167901.27537500003</v>
      </c>
      <c r="AS70" s="59"/>
      <c r="AT70" s="2" t="s">
        <v>82</v>
      </c>
    </row>
    <row r="71" spans="1:49" ht="27.6" outlineLevel="1" x14ac:dyDescent="0.35">
      <c r="A71" s="28">
        <v>12467</v>
      </c>
      <c r="B71" s="28">
        <v>3</v>
      </c>
      <c r="C71" s="29"/>
      <c r="D71" s="29"/>
      <c r="E71" s="29"/>
      <c r="F71" s="29"/>
      <c r="G71" s="28" t="s">
        <v>61</v>
      </c>
      <c r="H71" s="29"/>
      <c r="I71" s="29"/>
      <c r="J71" s="29"/>
      <c r="K71" s="29"/>
      <c r="L71" s="29"/>
      <c r="M71" s="73" t="s">
        <v>113</v>
      </c>
      <c r="N71" s="74">
        <v>32211.26</v>
      </c>
      <c r="O71" s="74">
        <v>32211.26</v>
      </c>
      <c r="P71" s="75"/>
      <c r="Q71" s="75"/>
      <c r="R71" s="75"/>
      <c r="S71" s="75"/>
      <c r="T71" s="33">
        <f t="shared" si="49"/>
        <v>32211.26</v>
      </c>
      <c r="U71" s="75"/>
      <c r="V71" s="28">
        <v>126312</v>
      </c>
      <c r="W71" s="34">
        <v>0.1</v>
      </c>
      <c r="X71" s="29">
        <f t="shared" si="20"/>
        <v>8.3333333333333332E-3</v>
      </c>
      <c r="Y71" s="29"/>
      <c r="Z71" s="29"/>
      <c r="AA71" s="29"/>
      <c r="AB71" s="29"/>
      <c r="AC71" s="29"/>
      <c r="AD71" s="29"/>
      <c r="AE71" s="29"/>
      <c r="AF71" s="77">
        <v>9</v>
      </c>
      <c r="AG71" s="78"/>
      <c r="AH71" s="29"/>
      <c r="AI71" s="57"/>
      <c r="AJ71" s="57"/>
      <c r="AK71" s="40"/>
      <c r="AL71" s="76"/>
      <c r="AM71" s="57">
        <f t="shared" si="53"/>
        <v>2415.8445000000002</v>
      </c>
      <c r="AN71" s="79">
        <f t="shared" si="56"/>
        <v>29795.515499999998</v>
      </c>
      <c r="AO71" s="57">
        <f t="shared" si="57"/>
        <v>0</v>
      </c>
      <c r="AP71" s="58">
        <f t="shared" si="54"/>
        <v>201.32037500000001</v>
      </c>
      <c r="AQ71" s="36">
        <f t="shared" si="55"/>
        <v>1811.8833750000001</v>
      </c>
      <c r="AR71" s="52">
        <f t="shared" si="15"/>
        <v>27983.632124999996</v>
      </c>
      <c r="AS71" s="59"/>
      <c r="AT71" s="2" t="s">
        <v>82</v>
      </c>
    </row>
    <row r="72" spans="1:49" ht="27.6" outlineLevel="1" x14ac:dyDescent="0.35">
      <c r="A72" s="28">
        <v>12467</v>
      </c>
      <c r="B72" s="28">
        <v>3</v>
      </c>
      <c r="C72" s="29"/>
      <c r="D72" s="29"/>
      <c r="E72" s="29"/>
      <c r="F72" s="29"/>
      <c r="G72" s="28" t="s">
        <v>61</v>
      </c>
      <c r="H72" s="29"/>
      <c r="I72" s="29"/>
      <c r="J72" s="29"/>
      <c r="K72" s="29"/>
      <c r="L72" s="29"/>
      <c r="M72" s="73" t="s">
        <v>114</v>
      </c>
      <c r="N72" s="74">
        <v>30922.81</v>
      </c>
      <c r="O72" s="74">
        <v>30922.81</v>
      </c>
      <c r="P72" s="75"/>
      <c r="Q72" s="75"/>
      <c r="R72" s="75"/>
      <c r="S72" s="75"/>
      <c r="T72" s="33">
        <f t="shared" si="49"/>
        <v>30922.81</v>
      </c>
      <c r="U72" s="75"/>
      <c r="V72" s="28">
        <v>126312</v>
      </c>
      <c r="W72" s="34">
        <v>0.1</v>
      </c>
      <c r="X72" s="29">
        <f t="shared" si="20"/>
        <v>8.3333333333333332E-3</v>
      </c>
      <c r="Y72" s="29"/>
      <c r="Z72" s="29"/>
      <c r="AA72" s="29"/>
      <c r="AB72" s="29"/>
      <c r="AC72" s="29"/>
      <c r="AD72" s="29"/>
      <c r="AE72" s="29"/>
      <c r="AF72" s="77">
        <v>9</v>
      </c>
      <c r="AG72" s="78"/>
      <c r="AH72" s="29"/>
      <c r="AI72" s="57"/>
      <c r="AJ72" s="57"/>
      <c r="AK72" s="40"/>
      <c r="AL72" s="76"/>
      <c r="AM72" s="57">
        <f t="shared" si="53"/>
        <v>2319.2107500000002</v>
      </c>
      <c r="AN72" s="79">
        <f t="shared" si="56"/>
        <v>28603.699249999998</v>
      </c>
      <c r="AO72" s="57">
        <f t="shared" si="57"/>
        <v>0</v>
      </c>
      <c r="AP72" s="58">
        <f t="shared" si="54"/>
        <v>193.26756250000003</v>
      </c>
      <c r="AQ72" s="36">
        <f t="shared" si="55"/>
        <v>1739.4080625000001</v>
      </c>
      <c r="AR72" s="52">
        <f t="shared" si="15"/>
        <v>26864.291187499999</v>
      </c>
      <c r="AS72" s="59"/>
      <c r="AT72" s="2" t="s">
        <v>82</v>
      </c>
    </row>
    <row r="73" spans="1:49" ht="27.6" outlineLevel="1" x14ac:dyDescent="0.35">
      <c r="A73" s="28">
        <v>12467</v>
      </c>
      <c r="B73" s="28">
        <v>3</v>
      </c>
      <c r="C73" s="29"/>
      <c r="D73" s="29"/>
      <c r="E73" s="29"/>
      <c r="F73" s="29"/>
      <c r="G73" s="28" t="s">
        <v>61</v>
      </c>
      <c r="H73" s="29"/>
      <c r="I73" s="29"/>
      <c r="J73" s="29"/>
      <c r="K73" s="29"/>
      <c r="L73" s="29"/>
      <c r="M73" s="73" t="s">
        <v>115</v>
      </c>
      <c r="N73" s="74">
        <v>68465.94</v>
      </c>
      <c r="O73" s="74">
        <v>68465.94</v>
      </c>
      <c r="P73" s="75"/>
      <c r="Q73" s="75"/>
      <c r="R73" s="75"/>
      <c r="S73" s="75"/>
      <c r="T73" s="33">
        <f t="shared" si="49"/>
        <v>68465.94</v>
      </c>
      <c r="U73" s="75"/>
      <c r="V73" s="28">
        <v>126312</v>
      </c>
      <c r="W73" s="34">
        <v>0.1</v>
      </c>
      <c r="X73" s="29">
        <f t="shared" si="20"/>
        <v>8.3333333333333332E-3</v>
      </c>
      <c r="Y73" s="29"/>
      <c r="Z73" s="29"/>
      <c r="AA73" s="29"/>
      <c r="AB73" s="29"/>
      <c r="AC73" s="29"/>
      <c r="AD73" s="29"/>
      <c r="AE73" s="29"/>
      <c r="AF73" s="77">
        <v>9</v>
      </c>
      <c r="AG73" s="78"/>
      <c r="AH73" s="29"/>
      <c r="AI73" s="57"/>
      <c r="AJ73" s="57"/>
      <c r="AK73" s="40"/>
      <c r="AL73" s="76"/>
      <c r="AM73" s="57">
        <f t="shared" si="53"/>
        <v>5134.9455000000007</v>
      </c>
      <c r="AN73" s="79">
        <f t="shared" si="56"/>
        <v>63331.094500000007</v>
      </c>
      <c r="AO73" s="57">
        <f t="shared" si="57"/>
        <v>0</v>
      </c>
      <c r="AP73" s="58">
        <f t="shared" si="54"/>
        <v>427.91212500000006</v>
      </c>
      <c r="AQ73" s="36">
        <f t="shared" si="55"/>
        <v>3851.2091250000003</v>
      </c>
      <c r="AR73" s="52">
        <f t="shared" si="15"/>
        <v>59479.885375000005</v>
      </c>
      <c r="AS73" s="59"/>
      <c r="AT73" s="2" t="s">
        <v>82</v>
      </c>
    </row>
    <row r="74" spans="1:49" ht="27.6" outlineLevel="1" x14ac:dyDescent="0.35">
      <c r="A74" s="28">
        <v>12467</v>
      </c>
      <c r="B74" s="28">
        <v>3</v>
      </c>
      <c r="C74" s="29"/>
      <c r="D74" s="29"/>
      <c r="E74" s="29"/>
      <c r="F74" s="29"/>
      <c r="G74" s="28"/>
      <c r="H74" s="29"/>
      <c r="I74" s="28" t="s">
        <v>61</v>
      </c>
      <c r="J74" s="28"/>
      <c r="K74" s="29"/>
      <c r="L74" s="29"/>
      <c r="M74" s="73" t="s">
        <v>116</v>
      </c>
      <c r="N74" s="74">
        <v>85929.03</v>
      </c>
      <c r="O74" s="74">
        <v>85929.03</v>
      </c>
      <c r="P74" s="75"/>
      <c r="Q74" s="75"/>
      <c r="R74" s="75"/>
      <c r="S74" s="75"/>
      <c r="T74" s="33">
        <f t="shared" si="49"/>
        <v>85929.03</v>
      </c>
      <c r="U74" s="75"/>
      <c r="V74" s="28">
        <v>126312</v>
      </c>
      <c r="W74" s="34">
        <v>0.1</v>
      </c>
      <c r="X74" s="29">
        <f t="shared" si="20"/>
        <v>8.3333333333333332E-3</v>
      </c>
      <c r="Y74" s="29"/>
      <c r="Z74" s="29"/>
      <c r="AA74" s="29"/>
      <c r="AB74" s="29"/>
      <c r="AC74" s="29"/>
      <c r="AD74" s="29"/>
      <c r="AE74" s="29"/>
      <c r="AF74" s="77">
        <v>9</v>
      </c>
      <c r="AG74" s="78"/>
      <c r="AH74" s="29"/>
      <c r="AI74" s="57"/>
      <c r="AJ74" s="57"/>
      <c r="AK74" s="40"/>
      <c r="AL74" s="76"/>
      <c r="AM74" s="57">
        <f t="shared" si="53"/>
        <v>6444.6772499999997</v>
      </c>
      <c r="AN74" s="79">
        <f t="shared" si="56"/>
        <v>79484.452750000011</v>
      </c>
      <c r="AO74" s="57">
        <f t="shared" si="57"/>
        <v>0</v>
      </c>
      <c r="AP74" s="58">
        <f t="shared" si="54"/>
        <v>537.05643750000002</v>
      </c>
      <c r="AQ74" s="36">
        <f t="shared" si="55"/>
        <v>4833.5079375000005</v>
      </c>
      <c r="AR74" s="52">
        <f t="shared" si="15"/>
        <v>74650.944812500005</v>
      </c>
      <c r="AS74" s="59"/>
      <c r="AT74" s="2" t="s">
        <v>82</v>
      </c>
    </row>
    <row r="75" spans="1:49" ht="27.6" outlineLevel="1" x14ac:dyDescent="0.35">
      <c r="A75" s="28">
        <v>12467</v>
      </c>
      <c r="B75" s="28">
        <v>3</v>
      </c>
      <c r="C75" s="29"/>
      <c r="D75" s="29"/>
      <c r="E75" s="29"/>
      <c r="F75" s="29"/>
      <c r="G75" s="28"/>
      <c r="H75" s="29"/>
      <c r="I75" s="28" t="s">
        <v>61</v>
      </c>
      <c r="J75" s="28"/>
      <c r="K75" s="29"/>
      <c r="L75" s="29"/>
      <c r="M75" s="73" t="s">
        <v>117</v>
      </c>
      <c r="N75" s="74">
        <v>144688.46</v>
      </c>
      <c r="O75" s="74">
        <v>144688.46</v>
      </c>
      <c r="P75" s="75"/>
      <c r="Q75" s="75"/>
      <c r="R75" s="75"/>
      <c r="S75" s="75"/>
      <c r="T75" s="33">
        <f t="shared" si="49"/>
        <v>144688.46</v>
      </c>
      <c r="U75" s="75"/>
      <c r="V75" s="28">
        <v>126312</v>
      </c>
      <c r="W75" s="34">
        <v>0.1</v>
      </c>
      <c r="X75" s="29">
        <f t="shared" si="20"/>
        <v>8.3333333333333332E-3</v>
      </c>
      <c r="Y75" s="29"/>
      <c r="Z75" s="29"/>
      <c r="AA75" s="29"/>
      <c r="AB75" s="29"/>
      <c r="AC75" s="29"/>
      <c r="AD75" s="29"/>
      <c r="AE75" s="29"/>
      <c r="AF75" s="77">
        <v>9</v>
      </c>
      <c r="AG75" s="78"/>
      <c r="AH75" s="29"/>
      <c r="AI75" s="57"/>
      <c r="AJ75" s="57"/>
      <c r="AK75" s="40"/>
      <c r="AL75" s="76"/>
      <c r="AM75" s="57">
        <f t="shared" si="53"/>
        <v>10851.634499999998</v>
      </c>
      <c r="AN75" s="79">
        <f t="shared" si="56"/>
        <v>133836.92550000001</v>
      </c>
      <c r="AO75" s="57">
        <f t="shared" si="57"/>
        <v>0</v>
      </c>
      <c r="AP75" s="58">
        <f t="shared" si="54"/>
        <v>904.30287499999986</v>
      </c>
      <c r="AQ75" s="36">
        <f t="shared" si="55"/>
        <v>8138.7258749999983</v>
      </c>
      <c r="AR75" s="52">
        <f t="shared" si="15"/>
        <v>125698.19962500001</v>
      </c>
      <c r="AS75" s="59"/>
      <c r="AT75" s="2" t="s">
        <v>82</v>
      </c>
    </row>
    <row r="76" spans="1:49" ht="27.6" outlineLevel="1" x14ac:dyDescent="0.35">
      <c r="A76" s="28">
        <v>12467</v>
      </c>
      <c r="B76" s="28">
        <v>3</v>
      </c>
      <c r="C76" s="29"/>
      <c r="D76" s="29"/>
      <c r="E76" s="29"/>
      <c r="F76" s="29"/>
      <c r="G76" s="28"/>
      <c r="H76" s="29"/>
      <c r="I76" s="28" t="s">
        <v>61</v>
      </c>
      <c r="J76" s="28"/>
      <c r="K76" s="29"/>
      <c r="L76" s="29"/>
      <c r="M76" s="73" t="s">
        <v>118</v>
      </c>
      <c r="N76" s="74">
        <v>118697.7</v>
      </c>
      <c r="O76" s="74">
        <v>118697.7</v>
      </c>
      <c r="P76" s="75"/>
      <c r="Q76" s="75"/>
      <c r="R76" s="75"/>
      <c r="S76" s="75"/>
      <c r="T76" s="33">
        <f t="shared" si="49"/>
        <v>118697.7</v>
      </c>
      <c r="U76" s="75"/>
      <c r="V76" s="28">
        <v>126312</v>
      </c>
      <c r="W76" s="34">
        <v>0.1</v>
      </c>
      <c r="X76" s="29">
        <f t="shared" si="20"/>
        <v>8.3333333333333332E-3</v>
      </c>
      <c r="Y76" s="29"/>
      <c r="Z76" s="29"/>
      <c r="AA76" s="29"/>
      <c r="AB76" s="29"/>
      <c r="AC76" s="29"/>
      <c r="AD76" s="29"/>
      <c r="AE76" s="29"/>
      <c r="AF76" s="77">
        <v>9</v>
      </c>
      <c r="AG76" s="78"/>
      <c r="AH76" s="29"/>
      <c r="AI76" s="57"/>
      <c r="AJ76" s="57"/>
      <c r="AK76" s="40"/>
      <c r="AL76" s="76"/>
      <c r="AM76" s="57">
        <f t="shared" si="53"/>
        <v>8902.3274999999994</v>
      </c>
      <c r="AN76" s="79">
        <f t="shared" si="56"/>
        <v>109795.4725</v>
      </c>
      <c r="AO76" s="57">
        <f t="shared" si="57"/>
        <v>0</v>
      </c>
      <c r="AP76" s="58">
        <f t="shared" si="54"/>
        <v>741.86062499999991</v>
      </c>
      <c r="AQ76" s="36">
        <f t="shared" si="55"/>
        <v>6676.7456249999996</v>
      </c>
      <c r="AR76" s="52">
        <f t="shared" si="15"/>
        <v>103118.72687500001</v>
      </c>
      <c r="AS76" s="59"/>
      <c r="AT76" s="2" t="s">
        <v>82</v>
      </c>
    </row>
    <row r="77" spans="1:49" ht="27.6" outlineLevel="1" x14ac:dyDescent="0.35">
      <c r="A77" s="28">
        <v>12467</v>
      </c>
      <c r="B77" s="28">
        <v>3</v>
      </c>
      <c r="C77" s="29"/>
      <c r="D77" s="29"/>
      <c r="E77" s="29"/>
      <c r="F77" s="29"/>
      <c r="G77" s="28"/>
      <c r="H77" s="29"/>
      <c r="I77" s="28" t="s">
        <v>61</v>
      </c>
      <c r="J77" s="28"/>
      <c r="K77" s="29"/>
      <c r="L77" s="29"/>
      <c r="M77" s="73" t="s">
        <v>119</v>
      </c>
      <c r="N77" s="74">
        <v>27440.85</v>
      </c>
      <c r="O77" s="74">
        <v>27440.85</v>
      </c>
      <c r="P77" s="75"/>
      <c r="Q77" s="75"/>
      <c r="R77" s="75"/>
      <c r="S77" s="75"/>
      <c r="T77" s="33">
        <f t="shared" si="49"/>
        <v>27440.85</v>
      </c>
      <c r="U77" s="75"/>
      <c r="V77" s="28">
        <v>126312</v>
      </c>
      <c r="W77" s="34">
        <v>0.1</v>
      </c>
      <c r="X77" s="29">
        <f t="shared" si="20"/>
        <v>8.3333333333333332E-3</v>
      </c>
      <c r="Y77" s="29"/>
      <c r="Z77" s="29"/>
      <c r="AA77" s="29"/>
      <c r="AB77" s="29"/>
      <c r="AC77" s="29"/>
      <c r="AD77" s="29"/>
      <c r="AE77" s="29"/>
      <c r="AF77" s="77">
        <v>9</v>
      </c>
      <c r="AG77" s="78"/>
      <c r="AH77" s="29"/>
      <c r="AI77" s="57"/>
      <c r="AJ77" s="57"/>
      <c r="AK77" s="40"/>
      <c r="AL77" s="76"/>
      <c r="AM77" s="57">
        <f t="shared" si="53"/>
        <v>2058.0637500000003</v>
      </c>
      <c r="AN77" s="79">
        <f t="shared" si="56"/>
        <v>25382.886249999996</v>
      </c>
      <c r="AO77" s="57">
        <f t="shared" si="57"/>
        <v>0</v>
      </c>
      <c r="AP77" s="58">
        <f t="shared" si="54"/>
        <v>171.50531250000003</v>
      </c>
      <c r="AQ77" s="36">
        <f t="shared" si="55"/>
        <v>1543.5478125000002</v>
      </c>
      <c r="AR77" s="52">
        <f t="shared" si="15"/>
        <v>23839.338437499995</v>
      </c>
      <c r="AS77" s="59"/>
      <c r="AT77" s="2" t="s">
        <v>82</v>
      </c>
    </row>
    <row r="78" spans="1:49" ht="27.6" outlineLevel="1" x14ac:dyDescent="0.35">
      <c r="A78" s="28">
        <v>12467</v>
      </c>
      <c r="B78" s="28">
        <v>3</v>
      </c>
      <c r="C78" s="29"/>
      <c r="D78" s="29"/>
      <c r="E78" s="29"/>
      <c r="F78" s="29"/>
      <c r="G78" s="28"/>
      <c r="H78" s="29"/>
      <c r="I78" s="28" t="s">
        <v>61</v>
      </c>
      <c r="J78" s="28"/>
      <c r="K78" s="29"/>
      <c r="L78" s="29"/>
      <c r="M78" s="73" t="s">
        <v>119</v>
      </c>
      <c r="N78" s="74">
        <v>101243.77</v>
      </c>
      <c r="O78" s="74">
        <v>101243.77</v>
      </c>
      <c r="P78" s="75"/>
      <c r="Q78" s="75"/>
      <c r="R78" s="75"/>
      <c r="S78" s="75"/>
      <c r="T78" s="33">
        <f t="shared" si="49"/>
        <v>101243.77</v>
      </c>
      <c r="U78" s="75"/>
      <c r="V78" s="28">
        <v>126312</v>
      </c>
      <c r="W78" s="34">
        <v>0.1</v>
      </c>
      <c r="X78" s="29">
        <f t="shared" si="20"/>
        <v>8.3333333333333332E-3</v>
      </c>
      <c r="Y78" s="29"/>
      <c r="Z78" s="29"/>
      <c r="AA78" s="29"/>
      <c r="AB78" s="29"/>
      <c r="AC78" s="29"/>
      <c r="AD78" s="29"/>
      <c r="AE78" s="29"/>
      <c r="AF78" s="77">
        <v>9</v>
      </c>
      <c r="AG78" s="78"/>
      <c r="AH78" s="29"/>
      <c r="AI78" s="57"/>
      <c r="AJ78" s="57"/>
      <c r="AK78" s="40"/>
      <c r="AL78" s="76"/>
      <c r="AM78" s="57">
        <f t="shared" si="53"/>
        <v>7593.2827500000003</v>
      </c>
      <c r="AN78" s="79">
        <f t="shared" si="56"/>
        <v>93650.587250000011</v>
      </c>
      <c r="AO78" s="57">
        <f t="shared" si="57"/>
        <v>0</v>
      </c>
      <c r="AP78" s="58">
        <f t="shared" si="54"/>
        <v>632.77356250000003</v>
      </c>
      <c r="AQ78" s="36">
        <f t="shared" si="55"/>
        <v>5694.9620625000007</v>
      </c>
      <c r="AR78" s="52">
        <f t="shared" si="15"/>
        <v>87955.625187500016</v>
      </c>
      <c r="AS78" s="59"/>
      <c r="AT78" s="2" t="s">
        <v>82</v>
      </c>
    </row>
    <row r="79" spans="1:49" ht="27.6" outlineLevel="1" x14ac:dyDescent="0.35">
      <c r="A79" s="28">
        <v>12467</v>
      </c>
      <c r="B79" s="28">
        <v>3</v>
      </c>
      <c r="C79" s="29"/>
      <c r="D79" s="29"/>
      <c r="E79" s="29"/>
      <c r="F79" s="29"/>
      <c r="G79" s="28"/>
      <c r="H79" s="29"/>
      <c r="I79" s="28" t="s">
        <v>61</v>
      </c>
      <c r="J79" s="28"/>
      <c r="K79" s="29"/>
      <c r="L79" s="29"/>
      <c r="M79" s="73" t="s">
        <v>120</v>
      </c>
      <c r="N79" s="74">
        <v>4218.4799999999996</v>
      </c>
      <c r="O79" s="74">
        <v>4218.4799999999996</v>
      </c>
      <c r="P79" s="75"/>
      <c r="Q79" s="75"/>
      <c r="R79" s="75"/>
      <c r="S79" s="75"/>
      <c r="T79" s="33">
        <f t="shared" si="49"/>
        <v>4218.4799999999996</v>
      </c>
      <c r="U79" s="75"/>
      <c r="V79" s="28">
        <v>126312</v>
      </c>
      <c r="W79" s="34">
        <v>0.1</v>
      </c>
      <c r="X79" s="29">
        <f t="shared" si="20"/>
        <v>8.3333333333333332E-3</v>
      </c>
      <c r="Y79" s="29"/>
      <c r="Z79" s="29"/>
      <c r="AA79" s="29"/>
      <c r="AB79" s="29"/>
      <c r="AC79" s="29"/>
      <c r="AD79" s="29"/>
      <c r="AE79" s="29"/>
      <c r="AF79" s="77">
        <v>9</v>
      </c>
      <c r="AG79" s="78"/>
      <c r="AH79" s="29"/>
      <c r="AI79" s="57"/>
      <c r="AJ79" s="57"/>
      <c r="AK79" s="40"/>
      <c r="AL79" s="76"/>
      <c r="AM79" s="57">
        <f t="shared" si="53"/>
        <v>316.38599999999997</v>
      </c>
      <c r="AN79" s="79">
        <f t="shared" si="56"/>
        <v>3902.194</v>
      </c>
      <c r="AO79" s="57">
        <f t="shared" si="57"/>
        <v>0</v>
      </c>
      <c r="AP79" s="58">
        <f t="shared" si="54"/>
        <v>26.365499999999997</v>
      </c>
      <c r="AQ79" s="36">
        <f t="shared" si="55"/>
        <v>237.28949999999998</v>
      </c>
      <c r="AR79" s="52">
        <f t="shared" si="15"/>
        <v>3664.9045000000001</v>
      </c>
      <c r="AS79" s="59"/>
      <c r="AT79" s="2" t="s">
        <v>82</v>
      </c>
    </row>
    <row r="80" spans="1:49" ht="27.6" outlineLevel="1" x14ac:dyDescent="0.35">
      <c r="A80" s="28">
        <v>12467</v>
      </c>
      <c r="B80" s="28">
        <v>3</v>
      </c>
      <c r="C80" s="29"/>
      <c r="D80" s="29"/>
      <c r="E80" s="29"/>
      <c r="F80" s="29"/>
      <c r="G80" s="28"/>
      <c r="H80" s="29"/>
      <c r="I80" s="28" t="s">
        <v>61</v>
      </c>
      <c r="J80" s="28"/>
      <c r="K80" s="29"/>
      <c r="L80" s="29"/>
      <c r="M80" s="73" t="s">
        <v>121</v>
      </c>
      <c r="N80" s="74">
        <v>1143.3699999999999</v>
      </c>
      <c r="O80" s="74">
        <v>1143.3699999999999</v>
      </c>
      <c r="P80" s="75"/>
      <c r="Q80" s="75"/>
      <c r="R80" s="75"/>
      <c r="S80" s="75"/>
      <c r="T80" s="33">
        <f t="shared" si="49"/>
        <v>1143.3699999999999</v>
      </c>
      <c r="U80" s="75"/>
      <c r="V80" s="28">
        <v>126312</v>
      </c>
      <c r="W80" s="34">
        <v>0.1</v>
      </c>
      <c r="X80" s="29">
        <f t="shared" si="20"/>
        <v>8.3333333333333332E-3</v>
      </c>
      <c r="Y80" s="29"/>
      <c r="Z80" s="29"/>
      <c r="AA80" s="29"/>
      <c r="AB80" s="29"/>
      <c r="AC80" s="29"/>
      <c r="AD80" s="29"/>
      <c r="AE80" s="29"/>
      <c r="AF80" s="77">
        <v>9</v>
      </c>
      <c r="AG80" s="78"/>
      <c r="AH80" s="29"/>
      <c r="AI80" s="57"/>
      <c r="AJ80" s="57"/>
      <c r="AK80" s="40"/>
      <c r="AL80" s="76"/>
      <c r="AM80" s="57">
        <f t="shared" si="53"/>
        <v>85.752749999999992</v>
      </c>
      <c r="AN80" s="79">
        <f t="shared" si="56"/>
        <v>1057.7172499999997</v>
      </c>
      <c r="AO80" s="57">
        <f t="shared" si="57"/>
        <v>0</v>
      </c>
      <c r="AP80" s="58">
        <f t="shared" si="54"/>
        <v>7.1460624999999993</v>
      </c>
      <c r="AQ80" s="36">
        <f t="shared" si="55"/>
        <v>64.314562499999994</v>
      </c>
      <c r="AR80" s="52">
        <f t="shared" si="15"/>
        <v>993.40268749999973</v>
      </c>
      <c r="AS80" s="59"/>
      <c r="AT80" s="2" t="s">
        <v>82</v>
      </c>
    </row>
    <row r="81" spans="1:49" ht="27.6" outlineLevel="1" x14ac:dyDescent="0.35">
      <c r="A81" s="28">
        <v>12467</v>
      </c>
      <c r="B81" s="28">
        <v>3</v>
      </c>
      <c r="C81" s="29"/>
      <c r="D81" s="29"/>
      <c r="E81" s="29"/>
      <c r="F81" s="29"/>
      <c r="G81" s="28"/>
      <c r="H81" s="29"/>
      <c r="I81" s="28" t="s">
        <v>61</v>
      </c>
      <c r="J81" s="28"/>
      <c r="K81" s="29"/>
      <c r="L81" s="29"/>
      <c r="M81" s="73" t="s">
        <v>122</v>
      </c>
      <c r="N81" s="74">
        <v>1075485.8</v>
      </c>
      <c r="O81" s="74">
        <v>1075485.8</v>
      </c>
      <c r="P81" s="75"/>
      <c r="Q81" s="75"/>
      <c r="R81" s="75"/>
      <c r="S81" s="75"/>
      <c r="T81" s="33">
        <f t="shared" si="49"/>
        <v>1075485.8</v>
      </c>
      <c r="U81" s="75"/>
      <c r="V81" s="28">
        <v>126312</v>
      </c>
      <c r="W81" s="34">
        <v>0.1</v>
      </c>
      <c r="X81" s="29">
        <f t="shared" si="20"/>
        <v>8.3333333333333332E-3</v>
      </c>
      <c r="Y81" s="29"/>
      <c r="Z81" s="29"/>
      <c r="AA81" s="29"/>
      <c r="AB81" s="29"/>
      <c r="AC81" s="29"/>
      <c r="AD81" s="29"/>
      <c r="AE81" s="29"/>
      <c r="AF81" s="77">
        <v>9</v>
      </c>
      <c r="AG81" s="78"/>
      <c r="AH81" s="29"/>
      <c r="AI81" s="57"/>
      <c r="AJ81" s="57"/>
      <c r="AK81" s="40"/>
      <c r="AL81" s="76"/>
      <c r="AM81" s="57">
        <f t="shared" si="53"/>
        <v>80661.435000000012</v>
      </c>
      <c r="AN81" s="79">
        <f t="shared" si="56"/>
        <v>994824.46500000008</v>
      </c>
      <c r="AO81" s="57">
        <f t="shared" si="57"/>
        <v>0</v>
      </c>
      <c r="AP81" s="58">
        <f t="shared" si="54"/>
        <v>6721.786250000001</v>
      </c>
      <c r="AQ81" s="36">
        <f t="shared" si="55"/>
        <v>60496.076250000013</v>
      </c>
      <c r="AR81" s="52">
        <f t="shared" ref="AR81:AR82" si="58">+AN81-AQ81</f>
        <v>934328.38875000004</v>
      </c>
      <c r="AS81" s="59"/>
      <c r="AT81" s="2" t="s">
        <v>82</v>
      </c>
    </row>
    <row r="82" spans="1:49" ht="27.6" outlineLevel="1" x14ac:dyDescent="0.35">
      <c r="A82" s="28">
        <v>12467</v>
      </c>
      <c r="B82" s="28">
        <v>3</v>
      </c>
      <c r="C82" s="29"/>
      <c r="D82" s="29"/>
      <c r="E82" s="29"/>
      <c r="F82" s="29"/>
      <c r="G82" s="28"/>
      <c r="H82" s="29"/>
      <c r="I82" s="28" t="s">
        <v>61</v>
      </c>
      <c r="J82" s="28"/>
      <c r="K82" s="29"/>
      <c r="L82" s="29"/>
      <c r="M82" s="73" t="s">
        <v>122</v>
      </c>
      <c r="N82" s="74">
        <v>499230.81</v>
      </c>
      <c r="O82" s="74">
        <v>499230.81</v>
      </c>
      <c r="P82" s="75"/>
      <c r="Q82" s="75"/>
      <c r="R82" s="75"/>
      <c r="S82" s="75"/>
      <c r="T82" s="33">
        <f t="shared" si="49"/>
        <v>499230.81</v>
      </c>
      <c r="U82" s="75"/>
      <c r="V82" s="28">
        <v>126312</v>
      </c>
      <c r="W82" s="34">
        <v>0.1</v>
      </c>
      <c r="X82" s="29">
        <f t="shared" si="20"/>
        <v>8.3333333333333332E-3</v>
      </c>
      <c r="Y82" s="29"/>
      <c r="Z82" s="29"/>
      <c r="AA82" s="29"/>
      <c r="AB82" s="29"/>
      <c r="AC82" s="29"/>
      <c r="AD82" s="29"/>
      <c r="AE82" s="29"/>
      <c r="AF82" s="77">
        <v>9</v>
      </c>
      <c r="AG82" s="78"/>
      <c r="AH82" s="29"/>
      <c r="AI82" s="57"/>
      <c r="AJ82" s="57"/>
      <c r="AK82" s="40"/>
      <c r="AL82" s="76"/>
      <c r="AM82" s="57">
        <f t="shared" si="53"/>
        <v>37442.310750000004</v>
      </c>
      <c r="AN82" s="79">
        <f t="shared" si="56"/>
        <v>461788.59924999997</v>
      </c>
      <c r="AO82" s="57">
        <f t="shared" si="57"/>
        <v>0</v>
      </c>
      <c r="AP82" s="58">
        <f t="shared" si="54"/>
        <v>3120.1925625000003</v>
      </c>
      <c r="AQ82" s="36">
        <f t="shared" si="55"/>
        <v>28081.733062500003</v>
      </c>
      <c r="AR82" s="52">
        <f t="shared" si="58"/>
        <v>433706.86618749995</v>
      </c>
      <c r="AS82" s="59"/>
      <c r="AT82" s="2" t="s">
        <v>82</v>
      </c>
    </row>
    <row r="83" spans="1:49" ht="15" x14ac:dyDescent="0.35">
      <c r="A83" s="60" t="s">
        <v>123</v>
      </c>
      <c r="B83" s="60"/>
      <c r="C83" s="28"/>
      <c r="D83" s="28"/>
      <c r="E83" s="29"/>
      <c r="F83" s="29"/>
      <c r="G83" s="29"/>
      <c r="H83" s="30"/>
      <c r="I83" s="30"/>
      <c r="J83" s="30"/>
      <c r="K83" s="31"/>
      <c r="L83" s="31"/>
      <c r="M83" s="64" t="s">
        <v>124</v>
      </c>
      <c r="N83" s="65">
        <f>SUM(N25:N82)</f>
        <v>24515894.394000005</v>
      </c>
      <c r="O83" s="65">
        <v>24515894.394000005</v>
      </c>
      <c r="P83" s="66">
        <f>SUBTOTAL(9,P25:P55)</f>
        <v>15184.399999999998</v>
      </c>
      <c r="Q83" s="66">
        <f>SUBTOTAL(9,Q25:Q55)</f>
        <v>0</v>
      </c>
      <c r="R83" s="66">
        <f>SUBTOTAL(9,R25:R55)</f>
        <v>61113.463199999998</v>
      </c>
      <c r="S83" s="66"/>
      <c r="T83" s="66"/>
      <c r="U83" s="66"/>
      <c r="V83" s="66" t="s">
        <v>125</v>
      </c>
      <c r="W83" s="66"/>
      <c r="X83" s="66"/>
      <c r="Y83" s="65"/>
      <c r="Z83" s="65">
        <f t="shared" ref="Z83:AS83" si="59">SUM(Z25:Z82)</f>
        <v>253.07333333333335</v>
      </c>
      <c r="AA83" s="65">
        <f t="shared" si="59"/>
        <v>3760.1399999999994</v>
      </c>
      <c r="AB83" s="65">
        <f t="shared" si="59"/>
        <v>11424.260000000002</v>
      </c>
      <c r="AC83" s="65">
        <f t="shared" si="59"/>
        <v>172494.97652000003</v>
      </c>
      <c r="AD83" s="65">
        <f t="shared" si="59"/>
        <v>176508.18985333334</v>
      </c>
      <c r="AE83" s="65">
        <f t="shared" si="59"/>
        <v>1469269.6753466667</v>
      </c>
      <c r="AF83" s="65">
        <f t="shared" si="59"/>
        <v>350</v>
      </c>
      <c r="AG83" s="65">
        <f t="shared" si="59"/>
        <v>177613.04499333337</v>
      </c>
      <c r="AH83" s="65">
        <f t="shared" si="59"/>
        <v>6219065.3591533331</v>
      </c>
      <c r="AI83" s="65">
        <f t="shared" si="59"/>
        <v>1770712.3436193331</v>
      </c>
      <c r="AJ83" s="65">
        <f t="shared" si="59"/>
        <v>19558369.225534</v>
      </c>
      <c r="AK83" s="65">
        <f t="shared" si="59"/>
        <v>2339847.5974000003</v>
      </c>
      <c r="AL83" s="65">
        <f t="shared" si="59"/>
        <v>18955562.778134</v>
      </c>
      <c r="AM83" s="65">
        <f t="shared" si="59"/>
        <v>2383301.5910666673</v>
      </c>
      <c r="AN83" s="65">
        <f t="shared" si="59"/>
        <v>19404954.47706734</v>
      </c>
      <c r="AO83" s="65">
        <f t="shared" ref="AO83" si="60">SUM(AO25:AO82)</f>
        <v>0</v>
      </c>
      <c r="AP83" s="65">
        <f t="shared" si="59"/>
        <v>198608.46592222224</v>
      </c>
      <c r="AQ83" s="66">
        <f t="shared" si="55"/>
        <v>1787476.1933000002</v>
      </c>
      <c r="AR83" s="65">
        <f t="shared" ref="AR83" si="61">SUM(AR25:AR82)</f>
        <v>17618630.410267334</v>
      </c>
      <c r="AS83" s="65">
        <f t="shared" si="59"/>
        <v>10114.625550000002</v>
      </c>
      <c r="AT83" s="40"/>
      <c r="AU83" s="40"/>
      <c r="AV83" s="40"/>
      <c r="AW83" s="40"/>
    </row>
    <row r="84" spans="1:49" ht="17.25" customHeight="1" outlineLevel="1" x14ac:dyDescent="0.35">
      <c r="A84" s="28">
        <v>12511</v>
      </c>
      <c r="B84" s="28">
        <v>11</v>
      </c>
      <c r="C84" s="29"/>
      <c r="D84" s="28" t="s">
        <v>61</v>
      </c>
      <c r="E84" s="29"/>
      <c r="F84" s="29"/>
      <c r="G84" s="29"/>
      <c r="H84" s="30"/>
      <c r="I84" s="30"/>
      <c r="J84" s="30"/>
      <c r="K84" s="31"/>
      <c r="L84" s="31"/>
      <c r="M84" s="69" t="s">
        <v>126</v>
      </c>
      <c r="N84" s="32">
        <v>230260</v>
      </c>
      <c r="O84" s="32">
        <v>230260</v>
      </c>
      <c r="P84" s="36">
        <v>0</v>
      </c>
      <c r="Q84" s="33">
        <v>230260</v>
      </c>
      <c r="R84" s="33"/>
      <c r="S84" s="33"/>
      <c r="T84" s="33"/>
      <c r="U84" s="33"/>
      <c r="V84" s="28">
        <v>12651</v>
      </c>
      <c r="W84" s="34">
        <v>0.33329999999999999</v>
      </c>
      <c r="X84" s="29">
        <f>+W84/12*1</f>
        <v>2.7774999999999998E-2</v>
      </c>
      <c r="Y84" s="29"/>
      <c r="Z84" s="35"/>
      <c r="AA84" s="36">
        <v>1279.0899999999999</v>
      </c>
      <c r="AB84" s="37">
        <f>+N84-AA84</f>
        <v>228980.91</v>
      </c>
      <c r="AC84" s="36">
        <f>+$N84*$W84</f>
        <v>76745.657999999996</v>
      </c>
      <c r="AD84" s="38">
        <f>+AA84+AC84+Z84</f>
        <v>78024.747999999992</v>
      </c>
      <c r="AE84" s="38">
        <f>+N84-AD84</f>
        <v>152235.25200000001</v>
      </c>
      <c r="AF84" s="38"/>
      <c r="AG84" s="32">
        <v>81862.039999999994</v>
      </c>
      <c r="AH84" s="70">
        <f>+AE84-AG84</f>
        <v>70373.212000000014</v>
      </c>
      <c r="AI84" s="70">
        <f>+AH84</f>
        <v>70373.212000000014</v>
      </c>
      <c r="AJ84" s="52">
        <f>+AH84-AI84</f>
        <v>0</v>
      </c>
      <c r="AK84" s="57">
        <v>0</v>
      </c>
      <c r="AL84" s="52">
        <f>+AJ84-AK84</f>
        <v>0</v>
      </c>
      <c r="AM84" s="57">
        <v>0</v>
      </c>
      <c r="AN84" s="52">
        <f>+AL84-AM84</f>
        <v>0</v>
      </c>
      <c r="AO84" s="57">
        <v>0</v>
      </c>
      <c r="AP84" s="52">
        <f>+AM84-AN84</f>
        <v>0</v>
      </c>
      <c r="AQ84" s="36">
        <f t="shared" si="55"/>
        <v>0</v>
      </c>
      <c r="AR84" s="52">
        <f>+AP84-AQ84</f>
        <v>0</v>
      </c>
      <c r="AS84" s="53"/>
      <c r="AT84" s="59"/>
      <c r="AU84" s="59"/>
      <c r="AV84" s="59"/>
    </row>
    <row r="85" spans="1:49" s="116" customFormat="1" ht="17.25" customHeight="1" x14ac:dyDescent="0.4">
      <c r="A85" s="107" t="s">
        <v>127</v>
      </c>
      <c r="B85" s="107"/>
      <c r="C85" s="108"/>
      <c r="D85" s="107"/>
      <c r="E85" s="108"/>
      <c r="F85" s="108"/>
      <c r="G85" s="108"/>
      <c r="H85" s="109"/>
      <c r="I85" s="109"/>
      <c r="J85" s="109"/>
      <c r="K85" s="110"/>
      <c r="L85" s="110"/>
      <c r="M85" s="111" t="s">
        <v>128</v>
      </c>
      <c r="N85" s="112">
        <f>SUM(N84)</f>
        <v>230260</v>
      </c>
      <c r="O85" s="112">
        <v>230260</v>
      </c>
      <c r="P85" s="112">
        <f>SUBTOTAL(9,P84:P84)</f>
        <v>0</v>
      </c>
      <c r="Q85" s="112">
        <f>SUBTOTAL(9,Q84:Q84)</f>
        <v>230260</v>
      </c>
      <c r="R85" s="112">
        <f>SUBTOTAL(9,R84:R84)</f>
        <v>0</v>
      </c>
      <c r="S85" s="112"/>
      <c r="T85" s="112"/>
      <c r="U85" s="112"/>
      <c r="V85" s="107">
        <v>12651</v>
      </c>
      <c r="W85" s="113"/>
      <c r="X85" s="108"/>
      <c r="Y85" s="108"/>
      <c r="Z85" s="112">
        <f t="shared" ref="Z85:AS85" si="62">SUM(Z84)</f>
        <v>0</v>
      </c>
      <c r="AA85" s="112">
        <f t="shared" si="62"/>
        <v>1279.0899999999999</v>
      </c>
      <c r="AB85" s="112">
        <f t="shared" si="62"/>
        <v>228980.91</v>
      </c>
      <c r="AC85" s="112">
        <f t="shared" si="62"/>
        <v>76745.657999999996</v>
      </c>
      <c r="AD85" s="112">
        <f t="shared" si="62"/>
        <v>78024.747999999992</v>
      </c>
      <c r="AE85" s="112">
        <f t="shared" si="62"/>
        <v>152235.25200000001</v>
      </c>
      <c r="AF85" s="112">
        <f t="shared" si="62"/>
        <v>0</v>
      </c>
      <c r="AG85" s="112">
        <f t="shared" si="62"/>
        <v>81862.039999999994</v>
      </c>
      <c r="AH85" s="112">
        <f t="shared" si="62"/>
        <v>70373.212000000014</v>
      </c>
      <c r="AI85" s="112">
        <f t="shared" si="62"/>
        <v>70373.212000000014</v>
      </c>
      <c r="AJ85" s="112">
        <f t="shared" si="62"/>
        <v>0</v>
      </c>
      <c r="AK85" s="112">
        <f t="shared" si="62"/>
        <v>0</v>
      </c>
      <c r="AL85" s="112">
        <f t="shared" si="62"/>
        <v>0</v>
      </c>
      <c r="AM85" s="112">
        <f t="shared" si="62"/>
        <v>0</v>
      </c>
      <c r="AN85" s="112">
        <f t="shared" si="62"/>
        <v>0</v>
      </c>
      <c r="AO85" s="112">
        <f t="shared" si="62"/>
        <v>0</v>
      </c>
      <c r="AP85" s="112">
        <f t="shared" si="62"/>
        <v>0</v>
      </c>
      <c r="AQ85" s="114">
        <f t="shared" si="55"/>
        <v>0</v>
      </c>
      <c r="AR85" s="112">
        <f t="shared" ref="AR85" si="63">SUM(AR84)</f>
        <v>0</v>
      </c>
      <c r="AS85" s="112">
        <f t="shared" si="62"/>
        <v>0</v>
      </c>
      <c r="AT85" s="115"/>
      <c r="AU85" s="115"/>
      <c r="AV85" s="115"/>
    </row>
    <row r="86" spans="1:49" ht="15" outlineLevel="1" x14ac:dyDescent="0.35">
      <c r="A86" s="28">
        <v>12411</v>
      </c>
      <c r="B86" s="28">
        <v>12</v>
      </c>
      <c r="C86" s="28" t="str">
        <f>+Y86</f>
        <v>X</v>
      </c>
      <c r="D86" s="28"/>
      <c r="E86" s="29"/>
      <c r="F86" s="29"/>
      <c r="G86" s="29"/>
      <c r="H86" s="30"/>
      <c r="I86" s="30"/>
      <c r="J86" s="30"/>
      <c r="K86" s="31" t="s">
        <v>129</v>
      </c>
      <c r="L86" s="31"/>
      <c r="M86" s="69" t="s">
        <v>130</v>
      </c>
      <c r="N86" s="32">
        <v>4419.6000000000004</v>
      </c>
      <c r="O86" s="32">
        <v>4419.6000000000004</v>
      </c>
      <c r="P86" s="33">
        <f>+N86</f>
        <v>4419.6000000000004</v>
      </c>
      <c r="Q86" s="33"/>
      <c r="R86" s="33"/>
      <c r="S86" s="33"/>
      <c r="T86" s="33"/>
      <c r="U86" s="33"/>
      <c r="V86" s="28">
        <v>12631</v>
      </c>
      <c r="W86" s="34">
        <v>0.1</v>
      </c>
      <c r="X86" s="29">
        <f>+W86/12*1</f>
        <v>8.3333333333333332E-3</v>
      </c>
      <c r="Y86" s="28" t="s">
        <v>61</v>
      </c>
      <c r="Z86" s="35">
        <f>+N86*X86*1</f>
        <v>36.830000000000005</v>
      </c>
      <c r="AA86" s="36">
        <f>+$N86*$W86</f>
        <v>441.96000000000004</v>
      </c>
      <c r="AB86" s="37">
        <f>+N86-AA86</f>
        <v>3977.6400000000003</v>
      </c>
      <c r="AC86" s="36">
        <f>+$N86*$W86</f>
        <v>441.96000000000004</v>
      </c>
      <c r="AD86" s="38">
        <f>+AA86+AC86+Z86</f>
        <v>920.75000000000011</v>
      </c>
      <c r="AE86" s="38">
        <f>+N86-AD86</f>
        <v>3498.8500000000004</v>
      </c>
      <c r="AF86" s="38"/>
      <c r="AG86" s="32">
        <f>+AE86</f>
        <v>3498.8500000000004</v>
      </c>
      <c r="AH86" s="70">
        <f>+AE86-AG86</f>
        <v>0</v>
      </c>
      <c r="AI86" s="70"/>
      <c r="AJ86" s="36">
        <f>+AH86-AI86</f>
        <v>0</v>
      </c>
      <c r="AK86" s="57">
        <v>0</v>
      </c>
      <c r="AL86" s="52">
        <f>+AJ86-AK86</f>
        <v>0</v>
      </c>
      <c r="AM86" s="57">
        <v>0</v>
      </c>
      <c r="AN86" s="52">
        <f>+AL86-AM86</f>
        <v>0</v>
      </c>
      <c r="AO86" s="57">
        <v>0</v>
      </c>
      <c r="AP86" s="52">
        <f>+AM86-AN86</f>
        <v>0</v>
      </c>
      <c r="AQ86" s="36">
        <f t="shared" si="55"/>
        <v>0</v>
      </c>
      <c r="AR86" s="52">
        <f>+AP86-AQ86</f>
        <v>0</v>
      </c>
      <c r="AS86" s="53"/>
      <c r="AT86" s="40"/>
      <c r="AU86" s="40"/>
      <c r="AV86" s="40"/>
      <c r="AW86" s="40">
        <f>+$N86*$W86</f>
        <v>441.96000000000004</v>
      </c>
    </row>
    <row r="87" spans="1:49" ht="15" outlineLevel="1" x14ac:dyDescent="0.35">
      <c r="A87" s="28">
        <v>12411</v>
      </c>
      <c r="B87" s="28">
        <v>12</v>
      </c>
      <c r="C87" s="28" t="str">
        <f>+Y87</f>
        <v>X</v>
      </c>
      <c r="D87" s="28"/>
      <c r="E87" s="29"/>
      <c r="F87" s="29"/>
      <c r="G87" s="29"/>
      <c r="H87" s="30"/>
      <c r="I87" s="30"/>
      <c r="J87" s="30"/>
      <c r="K87" s="31" t="s">
        <v>129</v>
      </c>
      <c r="L87" s="31"/>
      <c r="M87" s="69" t="s">
        <v>131</v>
      </c>
      <c r="N87" s="32">
        <v>5486.8</v>
      </c>
      <c r="O87" s="32">
        <v>5486.8</v>
      </c>
      <c r="P87" s="33">
        <f>+N87</f>
        <v>5486.8</v>
      </c>
      <c r="Q87" s="33"/>
      <c r="R87" s="33"/>
      <c r="S87" s="33"/>
      <c r="T87" s="33"/>
      <c r="U87" s="33"/>
      <c r="V87" s="28">
        <v>12631</v>
      </c>
      <c r="W87" s="34">
        <v>0.1</v>
      </c>
      <c r="X87" s="29">
        <f t="shared" ref="X87:X107" si="64">+W87/12*1</f>
        <v>8.3333333333333332E-3</v>
      </c>
      <c r="Y87" s="28" t="s">
        <v>61</v>
      </c>
      <c r="Z87" s="35">
        <f>+N87*X87*1</f>
        <v>45.723333333333336</v>
      </c>
      <c r="AA87" s="36">
        <f>+$N87*$W87</f>
        <v>548.68000000000006</v>
      </c>
      <c r="AB87" s="37">
        <f>+N87-AA87</f>
        <v>4938.12</v>
      </c>
      <c r="AC87" s="36">
        <f>+$N87*$W87</f>
        <v>548.68000000000006</v>
      </c>
      <c r="AD87" s="38">
        <f t="shared" ref="AD87:AD109" si="65">+AA87+AC87+Z87</f>
        <v>1143.0833333333335</v>
      </c>
      <c r="AE87" s="38">
        <f t="shared" ref="AE87:AE109" si="66">+N87-AD87</f>
        <v>4343.7166666666672</v>
      </c>
      <c r="AF87" s="38"/>
      <c r="AG87" s="32">
        <f>+AE87</f>
        <v>4343.7166666666672</v>
      </c>
      <c r="AH87" s="70">
        <f t="shared" ref="AH87:AH109" si="67">+AE87-AG87</f>
        <v>0</v>
      </c>
      <c r="AI87" s="70"/>
      <c r="AJ87" s="36">
        <f t="shared" ref="AJ87:AJ109" si="68">+AH87-AI87</f>
        <v>0</v>
      </c>
      <c r="AK87" s="57">
        <v>0</v>
      </c>
      <c r="AL87" s="52">
        <f t="shared" ref="AL87:AL106" si="69">+AJ87-AK87</f>
        <v>0</v>
      </c>
      <c r="AM87" s="57">
        <v>0</v>
      </c>
      <c r="AN87" s="52">
        <f t="shared" ref="AN87:AN106" si="70">+AL87-AM87</f>
        <v>0</v>
      </c>
      <c r="AO87" s="57">
        <v>0</v>
      </c>
      <c r="AP87" s="52">
        <f t="shared" ref="AP87:AP106" si="71">+AM87-AN87</f>
        <v>0</v>
      </c>
      <c r="AQ87" s="36">
        <f t="shared" si="55"/>
        <v>0</v>
      </c>
      <c r="AR87" s="52">
        <f t="shared" ref="AR87:AR106" si="72">+AP87-AQ87</f>
        <v>0</v>
      </c>
      <c r="AS87" s="53"/>
      <c r="AT87" s="40"/>
      <c r="AU87" s="40"/>
      <c r="AV87" s="40"/>
      <c r="AW87" s="40">
        <f>+$N87*$W87</f>
        <v>548.68000000000006</v>
      </c>
    </row>
    <row r="88" spans="1:49" ht="15" outlineLevel="1" x14ac:dyDescent="0.35">
      <c r="A88" s="28">
        <v>12411</v>
      </c>
      <c r="B88" s="28">
        <v>12</v>
      </c>
      <c r="C88" s="28" t="str">
        <f>+Y88</f>
        <v>X</v>
      </c>
      <c r="D88" s="28"/>
      <c r="E88" s="29"/>
      <c r="F88" s="29"/>
      <c r="G88" s="29"/>
      <c r="H88" s="30"/>
      <c r="I88" s="30"/>
      <c r="J88" s="30"/>
      <c r="K88" s="31"/>
      <c r="L88" s="31"/>
      <c r="M88" s="69" t="s">
        <v>132</v>
      </c>
      <c r="N88" s="32">
        <f>130*1.16</f>
        <v>150.79999999999998</v>
      </c>
      <c r="O88" s="32">
        <v>150.79999999999998</v>
      </c>
      <c r="P88" s="33">
        <f>+N88</f>
        <v>150.79999999999998</v>
      </c>
      <c r="Q88" s="33"/>
      <c r="R88" s="33"/>
      <c r="S88" s="33"/>
      <c r="T88" s="33"/>
      <c r="U88" s="33"/>
      <c r="V88" s="28">
        <v>12631</v>
      </c>
      <c r="W88" s="34">
        <v>0.1</v>
      </c>
      <c r="X88" s="29">
        <f t="shared" si="64"/>
        <v>8.3333333333333332E-3</v>
      </c>
      <c r="Y88" s="28" t="s">
        <v>61</v>
      </c>
      <c r="Z88" s="35">
        <f>+N88*X88*1</f>
        <v>1.2566666666666666</v>
      </c>
      <c r="AA88" s="36">
        <v>150.80000000000001</v>
      </c>
      <c r="AB88" s="37">
        <f>+N88-AA88</f>
        <v>0</v>
      </c>
      <c r="AC88" s="36">
        <f>+AB88</f>
        <v>0</v>
      </c>
      <c r="AD88" s="38">
        <f t="shared" si="65"/>
        <v>152.05666666666667</v>
      </c>
      <c r="AE88" s="38">
        <f t="shared" si="66"/>
        <v>-1.256666666666689</v>
      </c>
      <c r="AF88" s="38"/>
      <c r="AG88" s="32">
        <f>+AE88</f>
        <v>-1.256666666666689</v>
      </c>
      <c r="AH88" s="70">
        <f t="shared" si="67"/>
        <v>0</v>
      </c>
      <c r="AI88" s="65"/>
      <c r="AJ88" s="36">
        <f t="shared" si="68"/>
        <v>0</v>
      </c>
      <c r="AK88" s="57">
        <v>0</v>
      </c>
      <c r="AL88" s="52">
        <f t="shared" si="69"/>
        <v>0</v>
      </c>
      <c r="AM88" s="57">
        <v>0</v>
      </c>
      <c r="AN88" s="52">
        <f t="shared" si="70"/>
        <v>0</v>
      </c>
      <c r="AO88" s="57">
        <v>0</v>
      </c>
      <c r="AP88" s="52">
        <f t="shared" si="71"/>
        <v>0</v>
      </c>
      <c r="AQ88" s="36">
        <f t="shared" si="55"/>
        <v>0</v>
      </c>
      <c r="AR88" s="52">
        <f t="shared" si="72"/>
        <v>0</v>
      </c>
      <c r="AS88" s="53"/>
      <c r="AT88" s="40"/>
      <c r="AU88" s="40"/>
      <c r="AV88" s="40"/>
      <c r="AW88" s="40">
        <v>0</v>
      </c>
    </row>
    <row r="89" spans="1:49" ht="15" outlineLevel="1" x14ac:dyDescent="0.35">
      <c r="A89" s="28">
        <v>12429</v>
      </c>
      <c r="B89" s="28">
        <v>8</v>
      </c>
      <c r="C89" s="29"/>
      <c r="D89" s="29"/>
      <c r="E89" s="28" t="s">
        <v>61</v>
      </c>
      <c r="F89" s="28"/>
      <c r="G89" s="28"/>
      <c r="H89" s="30"/>
      <c r="I89" s="30"/>
      <c r="J89" s="30"/>
      <c r="K89" s="49"/>
      <c r="L89" s="49"/>
      <c r="M89" s="56" t="s">
        <v>133</v>
      </c>
      <c r="N89" s="32">
        <v>10440</v>
      </c>
      <c r="O89" s="32">
        <v>10440</v>
      </c>
      <c r="P89" s="33"/>
      <c r="Q89" s="33"/>
      <c r="R89" s="33">
        <f>+N89</f>
        <v>10440</v>
      </c>
      <c r="S89" s="33"/>
      <c r="T89" s="33"/>
      <c r="U89" s="33"/>
      <c r="V89" s="28">
        <v>126313</v>
      </c>
      <c r="W89" s="34">
        <v>0.2</v>
      </c>
      <c r="X89" s="29">
        <f>+W89/12*1</f>
        <v>1.6666666666666666E-2</v>
      </c>
      <c r="Y89" s="29"/>
      <c r="Z89" s="57"/>
      <c r="AA89" s="57"/>
      <c r="AB89" s="57"/>
      <c r="AC89" s="36">
        <f>+W89*N89</f>
        <v>2088</v>
      </c>
      <c r="AD89" s="38">
        <f>+AA89+AC89+Z89</f>
        <v>2088</v>
      </c>
      <c r="AE89" s="38">
        <f>+N89-AD89</f>
        <v>8352</v>
      </c>
      <c r="AF89" s="38"/>
      <c r="AG89" s="32">
        <f>+AE89-470.19</f>
        <v>7881.81</v>
      </c>
      <c r="AH89" s="70">
        <f>+AE89-AG89</f>
        <v>470.1899999999996</v>
      </c>
      <c r="AI89" s="70">
        <v>0</v>
      </c>
      <c r="AJ89" s="36">
        <f>+AH89-AI89</f>
        <v>470.1899999999996</v>
      </c>
      <c r="AK89" s="57">
        <v>0</v>
      </c>
      <c r="AL89" s="52">
        <f>+AJ89-AK89</f>
        <v>470.1899999999996</v>
      </c>
      <c r="AM89" s="57">
        <v>0</v>
      </c>
      <c r="AN89" s="52"/>
      <c r="AO89" s="57">
        <v>0</v>
      </c>
      <c r="AP89" s="52"/>
      <c r="AQ89" s="36">
        <f t="shared" si="55"/>
        <v>0</v>
      </c>
      <c r="AR89" s="52"/>
      <c r="AS89" s="53"/>
      <c r="AT89" s="59" t="s">
        <v>134</v>
      </c>
      <c r="AU89" s="59"/>
      <c r="AV89" s="59"/>
      <c r="AW89" s="59"/>
    </row>
    <row r="90" spans="1:49" ht="15" outlineLevel="1" x14ac:dyDescent="0.35">
      <c r="A90" s="28">
        <v>12411</v>
      </c>
      <c r="B90" s="28">
        <v>11</v>
      </c>
      <c r="C90" s="29"/>
      <c r="D90" s="29"/>
      <c r="E90" s="28" t="s">
        <v>61</v>
      </c>
      <c r="F90" s="28"/>
      <c r="G90" s="28"/>
      <c r="H90" s="30"/>
      <c r="I90" s="30"/>
      <c r="J90" s="30"/>
      <c r="K90" s="49"/>
      <c r="L90" s="49"/>
      <c r="M90" s="56" t="s">
        <v>135</v>
      </c>
      <c r="N90" s="32">
        <f>1683*1.16</f>
        <v>1952.28</v>
      </c>
      <c r="O90" s="32">
        <v>1952.28</v>
      </c>
      <c r="P90" s="33"/>
      <c r="Q90" s="33"/>
      <c r="R90" s="33">
        <f>+N90</f>
        <v>1952.28</v>
      </c>
      <c r="S90" s="33"/>
      <c r="T90" s="33"/>
      <c r="U90" s="33"/>
      <c r="V90" s="28">
        <v>12631</v>
      </c>
      <c r="W90" s="34">
        <v>0.1</v>
      </c>
      <c r="X90" s="29">
        <f t="shared" si="64"/>
        <v>8.3333333333333332E-3</v>
      </c>
      <c r="Y90" s="29"/>
      <c r="Z90" s="35"/>
      <c r="AA90" s="36"/>
      <c r="AB90" s="36"/>
      <c r="AC90" s="36">
        <f t="shared" ref="AC90:AC109" si="73">+W90*N90</f>
        <v>195.22800000000001</v>
      </c>
      <c r="AD90" s="38">
        <f t="shared" si="65"/>
        <v>195.22800000000001</v>
      </c>
      <c r="AE90" s="38">
        <f t="shared" si="66"/>
        <v>1757.0519999999999</v>
      </c>
      <c r="AF90" s="38"/>
      <c r="AG90" s="32">
        <f>+AE90</f>
        <v>1757.0519999999999</v>
      </c>
      <c r="AH90" s="70">
        <f t="shared" si="67"/>
        <v>0</v>
      </c>
      <c r="AI90" s="70"/>
      <c r="AJ90" s="36">
        <f t="shared" si="68"/>
        <v>0</v>
      </c>
      <c r="AK90" s="57">
        <v>0</v>
      </c>
      <c r="AL90" s="52">
        <f t="shared" si="69"/>
        <v>0</v>
      </c>
      <c r="AM90" s="57">
        <v>0</v>
      </c>
      <c r="AN90" s="52">
        <f t="shared" si="70"/>
        <v>0</v>
      </c>
      <c r="AO90" s="57">
        <v>0</v>
      </c>
      <c r="AP90" s="52">
        <f t="shared" si="71"/>
        <v>0</v>
      </c>
      <c r="AQ90" s="36">
        <f t="shared" si="55"/>
        <v>0</v>
      </c>
      <c r="AR90" s="52">
        <f t="shared" si="72"/>
        <v>0</v>
      </c>
      <c r="AS90" s="53"/>
      <c r="AT90" s="8"/>
      <c r="AU90" s="8"/>
      <c r="AV90" s="8"/>
    </row>
    <row r="91" spans="1:49" ht="15" outlineLevel="1" x14ac:dyDescent="0.35">
      <c r="A91" s="28">
        <v>12411</v>
      </c>
      <c r="B91" s="28">
        <v>11</v>
      </c>
      <c r="C91" s="29"/>
      <c r="D91" s="29"/>
      <c r="E91" s="28" t="s">
        <v>61</v>
      </c>
      <c r="F91" s="28"/>
      <c r="G91" s="28"/>
      <c r="H91" s="30"/>
      <c r="I91" s="30"/>
      <c r="J91" s="30"/>
      <c r="K91" s="49"/>
      <c r="L91" s="49"/>
      <c r="M91" s="56" t="s">
        <v>135</v>
      </c>
      <c r="N91" s="32">
        <f>1683*1.16</f>
        <v>1952.28</v>
      </c>
      <c r="O91" s="32">
        <v>1952.28</v>
      </c>
      <c r="P91" s="33"/>
      <c r="Q91" s="33"/>
      <c r="R91" s="33">
        <f t="shared" ref="R91:R107" si="74">+N91</f>
        <v>1952.28</v>
      </c>
      <c r="S91" s="33"/>
      <c r="T91" s="33"/>
      <c r="U91" s="33"/>
      <c r="V91" s="28">
        <v>12631</v>
      </c>
      <c r="W91" s="34">
        <v>0.1</v>
      </c>
      <c r="X91" s="29">
        <f t="shared" si="64"/>
        <v>8.3333333333333332E-3</v>
      </c>
      <c r="Y91" s="29"/>
      <c r="Z91" s="35"/>
      <c r="AA91" s="36"/>
      <c r="AB91" s="36"/>
      <c r="AC91" s="36">
        <f t="shared" si="73"/>
        <v>195.22800000000001</v>
      </c>
      <c r="AD91" s="38">
        <f t="shared" si="65"/>
        <v>195.22800000000001</v>
      </c>
      <c r="AE91" s="38">
        <f t="shared" si="66"/>
        <v>1757.0519999999999</v>
      </c>
      <c r="AF91" s="38"/>
      <c r="AG91" s="32">
        <f t="shared" ref="AG91:AG106" si="75">+AE91</f>
        <v>1757.0519999999999</v>
      </c>
      <c r="AH91" s="70">
        <f t="shared" si="67"/>
        <v>0</v>
      </c>
      <c r="AI91" s="70"/>
      <c r="AJ91" s="36">
        <f t="shared" si="68"/>
        <v>0</v>
      </c>
      <c r="AK91" s="57">
        <v>0</v>
      </c>
      <c r="AL91" s="52">
        <f t="shared" si="69"/>
        <v>0</v>
      </c>
      <c r="AM91" s="57">
        <v>0</v>
      </c>
      <c r="AN91" s="52">
        <f t="shared" si="70"/>
        <v>0</v>
      </c>
      <c r="AO91" s="57">
        <v>0</v>
      </c>
      <c r="AP91" s="52">
        <f t="shared" si="71"/>
        <v>0</v>
      </c>
      <c r="AQ91" s="36">
        <f t="shared" si="55"/>
        <v>0</v>
      </c>
      <c r="AR91" s="52">
        <f t="shared" si="72"/>
        <v>0</v>
      </c>
      <c r="AS91" s="53"/>
      <c r="AT91" s="8"/>
      <c r="AU91" s="8"/>
      <c r="AV91" s="8"/>
    </row>
    <row r="92" spans="1:49" ht="15" outlineLevel="1" x14ac:dyDescent="0.35">
      <c r="A92" s="28">
        <v>12411</v>
      </c>
      <c r="B92" s="28">
        <v>11</v>
      </c>
      <c r="C92" s="29"/>
      <c r="D92" s="29"/>
      <c r="E92" s="28" t="s">
        <v>61</v>
      </c>
      <c r="F92" s="28"/>
      <c r="G92" s="28"/>
      <c r="H92" s="30"/>
      <c r="I92" s="30"/>
      <c r="J92" s="30"/>
      <c r="K92" s="49"/>
      <c r="L92" s="49"/>
      <c r="M92" s="56" t="s">
        <v>136</v>
      </c>
      <c r="N92" s="32">
        <f>844.22*1.16</f>
        <v>979.29519999999991</v>
      </c>
      <c r="O92" s="32">
        <v>979.29519999999991</v>
      </c>
      <c r="P92" s="33"/>
      <c r="Q92" s="33"/>
      <c r="R92" s="33">
        <f t="shared" si="74"/>
        <v>979.29519999999991</v>
      </c>
      <c r="S92" s="33"/>
      <c r="T92" s="33"/>
      <c r="U92" s="33"/>
      <c r="V92" s="28">
        <v>12631</v>
      </c>
      <c r="W92" s="34">
        <v>0.1</v>
      </c>
      <c r="X92" s="29">
        <f t="shared" si="64"/>
        <v>8.3333333333333332E-3</v>
      </c>
      <c r="Y92" s="29"/>
      <c r="Z92" s="35"/>
      <c r="AA92" s="36"/>
      <c r="AB92" s="36"/>
      <c r="AC92" s="36">
        <f t="shared" si="73"/>
        <v>97.929519999999997</v>
      </c>
      <c r="AD92" s="38">
        <f t="shared" si="65"/>
        <v>97.929519999999997</v>
      </c>
      <c r="AE92" s="38">
        <f t="shared" si="66"/>
        <v>881.36567999999988</v>
      </c>
      <c r="AF92" s="38"/>
      <c r="AG92" s="32">
        <f t="shared" si="75"/>
        <v>881.36567999999988</v>
      </c>
      <c r="AH92" s="70">
        <f t="shared" si="67"/>
        <v>0</v>
      </c>
      <c r="AI92" s="70"/>
      <c r="AJ92" s="36">
        <f t="shared" si="68"/>
        <v>0</v>
      </c>
      <c r="AK92" s="57">
        <v>0</v>
      </c>
      <c r="AL92" s="52">
        <f t="shared" si="69"/>
        <v>0</v>
      </c>
      <c r="AM92" s="57">
        <v>0</v>
      </c>
      <c r="AN92" s="52">
        <f t="shared" si="70"/>
        <v>0</v>
      </c>
      <c r="AO92" s="57">
        <v>0</v>
      </c>
      <c r="AP92" s="52">
        <f t="shared" si="71"/>
        <v>0</v>
      </c>
      <c r="AQ92" s="36">
        <f t="shared" si="55"/>
        <v>0</v>
      </c>
      <c r="AR92" s="52">
        <f t="shared" si="72"/>
        <v>0</v>
      </c>
      <c r="AS92" s="53"/>
      <c r="AT92" s="8"/>
      <c r="AU92" s="8"/>
      <c r="AV92" s="8"/>
    </row>
    <row r="93" spans="1:49" ht="15" outlineLevel="1" x14ac:dyDescent="0.35">
      <c r="A93" s="28">
        <v>12411</v>
      </c>
      <c r="B93" s="28">
        <v>11</v>
      </c>
      <c r="C93" s="29"/>
      <c r="D93" s="29"/>
      <c r="E93" s="28" t="s">
        <v>61</v>
      </c>
      <c r="F93" s="28"/>
      <c r="G93" s="28"/>
      <c r="H93" s="30"/>
      <c r="I93" s="30"/>
      <c r="J93" s="30"/>
      <c r="K93" s="49"/>
      <c r="L93" s="49"/>
      <c r="M93" s="56" t="s">
        <v>136</v>
      </c>
      <c r="N93" s="32">
        <f t="shared" ref="N93:N98" si="76">844.22*1.16</f>
        <v>979.29519999999991</v>
      </c>
      <c r="O93" s="32">
        <v>979.29519999999991</v>
      </c>
      <c r="P93" s="33"/>
      <c r="Q93" s="33"/>
      <c r="R93" s="33">
        <f t="shared" si="74"/>
        <v>979.29519999999991</v>
      </c>
      <c r="S93" s="33"/>
      <c r="T93" s="33"/>
      <c r="U93" s="33"/>
      <c r="V93" s="28">
        <v>12631</v>
      </c>
      <c r="W93" s="34">
        <v>0.1</v>
      </c>
      <c r="X93" s="29">
        <f t="shared" si="64"/>
        <v>8.3333333333333332E-3</v>
      </c>
      <c r="Y93" s="29"/>
      <c r="Z93" s="35"/>
      <c r="AA93" s="36"/>
      <c r="AB93" s="36"/>
      <c r="AC93" s="36">
        <f t="shared" si="73"/>
        <v>97.929519999999997</v>
      </c>
      <c r="AD93" s="38">
        <f t="shared" si="65"/>
        <v>97.929519999999997</v>
      </c>
      <c r="AE93" s="38">
        <f t="shared" si="66"/>
        <v>881.36567999999988</v>
      </c>
      <c r="AF93" s="38"/>
      <c r="AG93" s="32">
        <f t="shared" si="75"/>
        <v>881.36567999999988</v>
      </c>
      <c r="AH93" s="70">
        <f t="shared" si="67"/>
        <v>0</v>
      </c>
      <c r="AI93" s="70"/>
      <c r="AJ93" s="36">
        <f t="shared" si="68"/>
        <v>0</v>
      </c>
      <c r="AK93" s="57">
        <v>0</v>
      </c>
      <c r="AL93" s="52">
        <f t="shared" si="69"/>
        <v>0</v>
      </c>
      <c r="AM93" s="57">
        <v>0</v>
      </c>
      <c r="AN93" s="52">
        <f t="shared" si="70"/>
        <v>0</v>
      </c>
      <c r="AO93" s="57">
        <v>0</v>
      </c>
      <c r="AP93" s="52">
        <f t="shared" si="71"/>
        <v>0</v>
      </c>
      <c r="AQ93" s="36">
        <f t="shared" si="55"/>
        <v>0</v>
      </c>
      <c r="AR93" s="52">
        <f t="shared" si="72"/>
        <v>0</v>
      </c>
      <c r="AS93" s="53"/>
      <c r="AT93" s="8"/>
      <c r="AU93" s="8"/>
      <c r="AV93" s="8"/>
    </row>
    <row r="94" spans="1:49" ht="15" outlineLevel="1" x14ac:dyDescent="0.35">
      <c r="A94" s="28">
        <v>12411</v>
      </c>
      <c r="B94" s="28">
        <v>11</v>
      </c>
      <c r="C94" s="29"/>
      <c r="D94" s="29"/>
      <c r="E94" s="28" t="s">
        <v>61</v>
      </c>
      <c r="F94" s="28"/>
      <c r="G94" s="28"/>
      <c r="H94" s="30"/>
      <c r="I94" s="30"/>
      <c r="J94" s="30"/>
      <c r="K94" s="49"/>
      <c r="L94" s="49"/>
      <c r="M94" s="56" t="s">
        <v>136</v>
      </c>
      <c r="N94" s="32">
        <f t="shared" si="76"/>
        <v>979.29519999999991</v>
      </c>
      <c r="O94" s="32">
        <v>979.29519999999991</v>
      </c>
      <c r="P94" s="33"/>
      <c r="Q94" s="33"/>
      <c r="R94" s="33">
        <f t="shared" si="74"/>
        <v>979.29519999999991</v>
      </c>
      <c r="S94" s="33"/>
      <c r="T94" s="33"/>
      <c r="U94" s="33"/>
      <c r="V94" s="28">
        <v>12631</v>
      </c>
      <c r="W94" s="34">
        <v>0.1</v>
      </c>
      <c r="X94" s="29">
        <f t="shared" si="64"/>
        <v>8.3333333333333332E-3</v>
      </c>
      <c r="Y94" s="29"/>
      <c r="Z94" s="35"/>
      <c r="AA94" s="36"/>
      <c r="AB94" s="36"/>
      <c r="AC94" s="36">
        <f t="shared" si="73"/>
        <v>97.929519999999997</v>
      </c>
      <c r="AD94" s="38">
        <f t="shared" si="65"/>
        <v>97.929519999999997</v>
      </c>
      <c r="AE94" s="38">
        <f t="shared" si="66"/>
        <v>881.36567999999988</v>
      </c>
      <c r="AF94" s="38"/>
      <c r="AG94" s="32">
        <f t="shared" si="75"/>
        <v>881.36567999999988</v>
      </c>
      <c r="AH94" s="70">
        <f t="shared" si="67"/>
        <v>0</v>
      </c>
      <c r="AI94" s="70"/>
      <c r="AJ94" s="36">
        <f t="shared" si="68"/>
        <v>0</v>
      </c>
      <c r="AK94" s="57">
        <v>0</v>
      </c>
      <c r="AL94" s="52">
        <f t="shared" si="69"/>
        <v>0</v>
      </c>
      <c r="AM94" s="57">
        <v>0</v>
      </c>
      <c r="AN94" s="52">
        <f t="shared" si="70"/>
        <v>0</v>
      </c>
      <c r="AO94" s="57">
        <v>0</v>
      </c>
      <c r="AP94" s="52">
        <f t="shared" si="71"/>
        <v>0</v>
      </c>
      <c r="AQ94" s="36">
        <f t="shared" si="55"/>
        <v>0</v>
      </c>
      <c r="AR94" s="52">
        <f t="shared" si="72"/>
        <v>0</v>
      </c>
      <c r="AS94" s="53"/>
      <c r="AT94" s="8"/>
      <c r="AU94" s="8"/>
      <c r="AV94" s="8"/>
    </row>
    <row r="95" spans="1:49" ht="15" outlineLevel="1" x14ac:dyDescent="0.35">
      <c r="A95" s="28">
        <v>12411</v>
      </c>
      <c r="B95" s="28">
        <v>11</v>
      </c>
      <c r="C95" s="29"/>
      <c r="D95" s="29"/>
      <c r="E95" s="28" t="s">
        <v>61</v>
      </c>
      <c r="F95" s="28"/>
      <c r="G95" s="28"/>
      <c r="H95" s="30"/>
      <c r="I95" s="30"/>
      <c r="J95" s="30"/>
      <c r="K95" s="49"/>
      <c r="L95" s="49"/>
      <c r="M95" s="56" t="s">
        <v>136</v>
      </c>
      <c r="N95" s="32">
        <f t="shared" si="76"/>
        <v>979.29519999999991</v>
      </c>
      <c r="O95" s="32">
        <v>979.29519999999991</v>
      </c>
      <c r="P95" s="33"/>
      <c r="Q95" s="33"/>
      <c r="R95" s="33">
        <f t="shared" si="74"/>
        <v>979.29519999999991</v>
      </c>
      <c r="S95" s="33"/>
      <c r="T95" s="33"/>
      <c r="U95" s="33"/>
      <c r="V95" s="28">
        <v>12631</v>
      </c>
      <c r="W95" s="34">
        <v>0.1</v>
      </c>
      <c r="X95" s="29">
        <f t="shared" si="64"/>
        <v>8.3333333333333332E-3</v>
      </c>
      <c r="Y95" s="29"/>
      <c r="Z95" s="35"/>
      <c r="AA95" s="36"/>
      <c r="AB95" s="36"/>
      <c r="AC95" s="36">
        <f t="shared" si="73"/>
        <v>97.929519999999997</v>
      </c>
      <c r="AD95" s="38">
        <f t="shared" si="65"/>
        <v>97.929519999999997</v>
      </c>
      <c r="AE95" s="38">
        <f t="shared" si="66"/>
        <v>881.36567999999988</v>
      </c>
      <c r="AF95" s="38"/>
      <c r="AG95" s="32">
        <f t="shared" si="75"/>
        <v>881.36567999999988</v>
      </c>
      <c r="AH95" s="70">
        <f t="shared" si="67"/>
        <v>0</v>
      </c>
      <c r="AI95" s="70"/>
      <c r="AJ95" s="36">
        <f t="shared" si="68"/>
        <v>0</v>
      </c>
      <c r="AK95" s="57">
        <v>0</v>
      </c>
      <c r="AL95" s="52">
        <f t="shared" si="69"/>
        <v>0</v>
      </c>
      <c r="AM95" s="57">
        <v>0</v>
      </c>
      <c r="AN95" s="52">
        <f t="shared" si="70"/>
        <v>0</v>
      </c>
      <c r="AO95" s="57">
        <v>0</v>
      </c>
      <c r="AP95" s="52">
        <f t="shared" si="71"/>
        <v>0</v>
      </c>
      <c r="AQ95" s="36">
        <f t="shared" si="55"/>
        <v>0</v>
      </c>
      <c r="AR95" s="52">
        <f t="shared" si="72"/>
        <v>0</v>
      </c>
      <c r="AS95" s="53"/>
      <c r="AT95" s="8"/>
      <c r="AU95" s="8"/>
      <c r="AV95" s="8"/>
    </row>
    <row r="96" spans="1:49" ht="15" outlineLevel="1" x14ac:dyDescent="0.35">
      <c r="A96" s="28">
        <v>12411</v>
      </c>
      <c r="B96" s="28">
        <v>11</v>
      </c>
      <c r="C96" s="29"/>
      <c r="D96" s="29"/>
      <c r="E96" s="28" t="s">
        <v>61</v>
      </c>
      <c r="F96" s="28"/>
      <c r="G96" s="28"/>
      <c r="H96" s="30"/>
      <c r="I96" s="30"/>
      <c r="J96" s="30"/>
      <c r="K96" s="49"/>
      <c r="L96" s="49"/>
      <c r="M96" s="56" t="s">
        <v>136</v>
      </c>
      <c r="N96" s="32">
        <f t="shared" si="76"/>
        <v>979.29519999999991</v>
      </c>
      <c r="O96" s="32">
        <v>979.29519999999991</v>
      </c>
      <c r="P96" s="33"/>
      <c r="Q96" s="33"/>
      <c r="R96" s="33">
        <f t="shared" si="74"/>
        <v>979.29519999999991</v>
      </c>
      <c r="S96" s="33"/>
      <c r="T96" s="33"/>
      <c r="U96" s="33"/>
      <c r="V96" s="28">
        <v>12631</v>
      </c>
      <c r="W96" s="34">
        <v>0.1</v>
      </c>
      <c r="X96" s="29">
        <f t="shared" si="64"/>
        <v>8.3333333333333332E-3</v>
      </c>
      <c r="Y96" s="29"/>
      <c r="Z96" s="35"/>
      <c r="AA96" s="36"/>
      <c r="AB96" s="36"/>
      <c r="AC96" s="36">
        <f t="shared" si="73"/>
        <v>97.929519999999997</v>
      </c>
      <c r="AD96" s="38">
        <f t="shared" si="65"/>
        <v>97.929519999999997</v>
      </c>
      <c r="AE96" s="38">
        <f t="shared" si="66"/>
        <v>881.36567999999988</v>
      </c>
      <c r="AF96" s="38"/>
      <c r="AG96" s="32">
        <f t="shared" si="75"/>
        <v>881.36567999999988</v>
      </c>
      <c r="AH96" s="70">
        <f t="shared" si="67"/>
        <v>0</v>
      </c>
      <c r="AI96" s="70"/>
      <c r="AJ96" s="36">
        <f t="shared" si="68"/>
        <v>0</v>
      </c>
      <c r="AK96" s="57">
        <v>0</v>
      </c>
      <c r="AL96" s="52">
        <f t="shared" si="69"/>
        <v>0</v>
      </c>
      <c r="AM96" s="57">
        <v>0</v>
      </c>
      <c r="AN96" s="52">
        <f t="shared" si="70"/>
        <v>0</v>
      </c>
      <c r="AO96" s="57">
        <v>0</v>
      </c>
      <c r="AP96" s="52">
        <f t="shared" si="71"/>
        <v>0</v>
      </c>
      <c r="AQ96" s="36">
        <f t="shared" si="55"/>
        <v>0</v>
      </c>
      <c r="AR96" s="52">
        <f t="shared" si="72"/>
        <v>0</v>
      </c>
      <c r="AS96" s="53"/>
      <c r="AT96" s="8"/>
      <c r="AU96" s="8"/>
      <c r="AV96" s="8"/>
    </row>
    <row r="97" spans="1:49" ht="15" outlineLevel="1" x14ac:dyDescent="0.35">
      <c r="A97" s="28">
        <v>12411</v>
      </c>
      <c r="B97" s="28">
        <v>11</v>
      </c>
      <c r="C97" s="29"/>
      <c r="D97" s="29"/>
      <c r="E97" s="28" t="s">
        <v>61</v>
      </c>
      <c r="F97" s="28"/>
      <c r="G97" s="28"/>
      <c r="H97" s="30"/>
      <c r="I97" s="30"/>
      <c r="J97" s="30"/>
      <c r="K97" s="49"/>
      <c r="L97" s="49"/>
      <c r="M97" s="56" t="s">
        <v>136</v>
      </c>
      <c r="N97" s="32">
        <f t="shared" si="76"/>
        <v>979.29519999999991</v>
      </c>
      <c r="O97" s="32">
        <v>979.29519999999991</v>
      </c>
      <c r="P97" s="33"/>
      <c r="Q97" s="33"/>
      <c r="R97" s="33">
        <f t="shared" si="74"/>
        <v>979.29519999999991</v>
      </c>
      <c r="S97" s="33"/>
      <c r="T97" s="33"/>
      <c r="U97" s="33"/>
      <c r="V97" s="28">
        <v>12631</v>
      </c>
      <c r="W97" s="34">
        <v>0.1</v>
      </c>
      <c r="X97" s="29">
        <f t="shared" si="64"/>
        <v>8.3333333333333332E-3</v>
      </c>
      <c r="Y97" s="29"/>
      <c r="Z97" s="35"/>
      <c r="AA97" s="36"/>
      <c r="AB97" s="36"/>
      <c r="AC97" s="36">
        <f t="shared" si="73"/>
        <v>97.929519999999997</v>
      </c>
      <c r="AD97" s="38">
        <f t="shared" si="65"/>
        <v>97.929519999999997</v>
      </c>
      <c r="AE97" s="38">
        <f t="shared" si="66"/>
        <v>881.36567999999988</v>
      </c>
      <c r="AF97" s="38"/>
      <c r="AG97" s="32">
        <f t="shared" si="75"/>
        <v>881.36567999999988</v>
      </c>
      <c r="AH97" s="70">
        <f t="shared" si="67"/>
        <v>0</v>
      </c>
      <c r="AI97" s="70"/>
      <c r="AJ97" s="36">
        <f t="shared" si="68"/>
        <v>0</v>
      </c>
      <c r="AK97" s="57">
        <v>0</v>
      </c>
      <c r="AL97" s="52">
        <f t="shared" si="69"/>
        <v>0</v>
      </c>
      <c r="AM97" s="57">
        <v>0</v>
      </c>
      <c r="AN97" s="52">
        <f t="shared" si="70"/>
        <v>0</v>
      </c>
      <c r="AO97" s="57">
        <v>0</v>
      </c>
      <c r="AP97" s="52">
        <f t="shared" si="71"/>
        <v>0</v>
      </c>
      <c r="AQ97" s="36">
        <f t="shared" si="55"/>
        <v>0</v>
      </c>
      <c r="AR97" s="52">
        <f t="shared" si="72"/>
        <v>0</v>
      </c>
      <c r="AS97" s="53"/>
      <c r="AT97" s="8"/>
      <c r="AU97" s="8"/>
      <c r="AV97" s="8"/>
    </row>
    <row r="98" spans="1:49" ht="15" outlineLevel="1" x14ac:dyDescent="0.35">
      <c r="A98" s="28">
        <v>12411</v>
      </c>
      <c r="B98" s="28">
        <v>11</v>
      </c>
      <c r="C98" s="29"/>
      <c r="D98" s="29"/>
      <c r="E98" s="28" t="s">
        <v>61</v>
      </c>
      <c r="F98" s="28"/>
      <c r="G98" s="28"/>
      <c r="H98" s="30"/>
      <c r="I98" s="30"/>
      <c r="J98" s="30"/>
      <c r="K98" s="49"/>
      <c r="L98" s="49"/>
      <c r="M98" s="56" t="s">
        <v>136</v>
      </c>
      <c r="N98" s="32">
        <f t="shared" si="76"/>
        <v>979.29519999999991</v>
      </c>
      <c r="O98" s="32">
        <v>979.29519999999991</v>
      </c>
      <c r="P98" s="33"/>
      <c r="Q98" s="33"/>
      <c r="R98" s="33">
        <f t="shared" si="74"/>
        <v>979.29519999999991</v>
      </c>
      <c r="S98" s="33"/>
      <c r="T98" s="33"/>
      <c r="U98" s="33"/>
      <c r="V98" s="28">
        <v>12631</v>
      </c>
      <c r="W98" s="34">
        <v>0.1</v>
      </c>
      <c r="X98" s="29">
        <f t="shared" si="64"/>
        <v>8.3333333333333332E-3</v>
      </c>
      <c r="Y98" s="29"/>
      <c r="Z98" s="35"/>
      <c r="AA98" s="36"/>
      <c r="AB98" s="36"/>
      <c r="AC98" s="36">
        <f t="shared" si="73"/>
        <v>97.929519999999997</v>
      </c>
      <c r="AD98" s="38">
        <f t="shared" si="65"/>
        <v>97.929519999999997</v>
      </c>
      <c r="AE98" s="38">
        <f t="shared" si="66"/>
        <v>881.36567999999988</v>
      </c>
      <c r="AF98" s="38"/>
      <c r="AG98" s="32">
        <f t="shared" si="75"/>
        <v>881.36567999999988</v>
      </c>
      <c r="AH98" s="70">
        <f t="shared" si="67"/>
        <v>0</v>
      </c>
      <c r="AI98" s="70"/>
      <c r="AJ98" s="36">
        <f t="shared" si="68"/>
        <v>0</v>
      </c>
      <c r="AK98" s="57">
        <v>0</v>
      </c>
      <c r="AL98" s="52">
        <f t="shared" si="69"/>
        <v>0</v>
      </c>
      <c r="AM98" s="57">
        <v>0</v>
      </c>
      <c r="AN98" s="52">
        <f t="shared" si="70"/>
        <v>0</v>
      </c>
      <c r="AO98" s="57">
        <v>0</v>
      </c>
      <c r="AP98" s="52">
        <f t="shared" si="71"/>
        <v>0</v>
      </c>
      <c r="AQ98" s="36">
        <f t="shared" si="55"/>
        <v>0</v>
      </c>
      <c r="AR98" s="52">
        <f t="shared" si="72"/>
        <v>0</v>
      </c>
      <c r="AS98" s="53"/>
      <c r="AT98" s="8"/>
      <c r="AU98" s="8"/>
      <c r="AV98" s="8"/>
    </row>
    <row r="99" spans="1:49" ht="15" outlineLevel="1" x14ac:dyDescent="0.35">
      <c r="A99" s="28">
        <v>12411</v>
      </c>
      <c r="B99" s="28">
        <v>12</v>
      </c>
      <c r="C99" s="29"/>
      <c r="D99" s="29"/>
      <c r="E99" s="28" t="s">
        <v>61</v>
      </c>
      <c r="F99" s="28"/>
      <c r="G99" s="28"/>
      <c r="H99" s="30"/>
      <c r="I99" s="30"/>
      <c r="J99" s="30"/>
      <c r="K99" s="49"/>
      <c r="L99" s="49"/>
      <c r="M99" s="56" t="s">
        <v>137</v>
      </c>
      <c r="N99" s="32">
        <v>2362.92</v>
      </c>
      <c r="O99" s="32">
        <v>2362.92</v>
      </c>
      <c r="P99" s="33"/>
      <c r="Q99" s="33"/>
      <c r="R99" s="33">
        <f t="shared" si="74"/>
        <v>2362.92</v>
      </c>
      <c r="S99" s="33"/>
      <c r="T99" s="33"/>
      <c r="U99" s="33"/>
      <c r="V99" s="28">
        <v>12631</v>
      </c>
      <c r="W99" s="34">
        <v>0.1</v>
      </c>
      <c r="X99" s="29">
        <f t="shared" si="64"/>
        <v>8.3333333333333332E-3</v>
      </c>
      <c r="Y99" s="29"/>
      <c r="Z99" s="35"/>
      <c r="AA99" s="36"/>
      <c r="AB99" s="36"/>
      <c r="AC99" s="36">
        <f t="shared" si="73"/>
        <v>236.29200000000003</v>
      </c>
      <c r="AD99" s="38">
        <f t="shared" si="65"/>
        <v>236.29200000000003</v>
      </c>
      <c r="AE99" s="38">
        <f t="shared" si="66"/>
        <v>2126.6280000000002</v>
      </c>
      <c r="AF99" s="38"/>
      <c r="AG99" s="32">
        <f t="shared" si="75"/>
        <v>2126.6280000000002</v>
      </c>
      <c r="AH99" s="70">
        <f t="shared" si="67"/>
        <v>0</v>
      </c>
      <c r="AI99" s="70"/>
      <c r="AJ99" s="36">
        <f t="shared" si="68"/>
        <v>0</v>
      </c>
      <c r="AK99" s="57">
        <v>0</v>
      </c>
      <c r="AL99" s="52">
        <f t="shared" si="69"/>
        <v>0</v>
      </c>
      <c r="AM99" s="57">
        <v>0</v>
      </c>
      <c r="AN99" s="52">
        <f t="shared" si="70"/>
        <v>0</v>
      </c>
      <c r="AO99" s="57">
        <v>0</v>
      </c>
      <c r="AP99" s="52">
        <f t="shared" si="71"/>
        <v>0</v>
      </c>
      <c r="AQ99" s="36">
        <f t="shared" si="55"/>
        <v>0</v>
      </c>
      <c r="AR99" s="52">
        <f t="shared" si="72"/>
        <v>0</v>
      </c>
      <c r="AS99" s="53"/>
      <c r="AT99" s="8"/>
      <c r="AU99" s="8"/>
      <c r="AV99" s="8"/>
    </row>
    <row r="100" spans="1:49" ht="15" outlineLevel="1" x14ac:dyDescent="0.35">
      <c r="A100" s="28">
        <v>12411</v>
      </c>
      <c r="B100" s="28">
        <v>12</v>
      </c>
      <c r="C100" s="29"/>
      <c r="D100" s="29"/>
      <c r="E100" s="28" t="s">
        <v>61</v>
      </c>
      <c r="F100" s="28"/>
      <c r="G100" s="28"/>
      <c r="H100" s="30"/>
      <c r="I100" s="30"/>
      <c r="J100" s="30"/>
      <c r="K100" s="49"/>
      <c r="L100" s="49"/>
      <c r="M100" s="56" t="s">
        <v>137</v>
      </c>
      <c r="N100" s="32">
        <v>2362.92</v>
      </c>
      <c r="O100" s="32">
        <v>2362.92</v>
      </c>
      <c r="P100" s="33"/>
      <c r="Q100" s="33"/>
      <c r="R100" s="33">
        <f t="shared" si="74"/>
        <v>2362.92</v>
      </c>
      <c r="S100" s="33"/>
      <c r="T100" s="33"/>
      <c r="U100" s="33"/>
      <c r="V100" s="28">
        <v>12631</v>
      </c>
      <c r="W100" s="34">
        <v>0.1</v>
      </c>
      <c r="X100" s="29">
        <f t="shared" si="64"/>
        <v>8.3333333333333332E-3</v>
      </c>
      <c r="Y100" s="29"/>
      <c r="Z100" s="29"/>
      <c r="AA100" s="29"/>
      <c r="AB100" s="36"/>
      <c r="AC100" s="36">
        <f t="shared" si="73"/>
        <v>236.29200000000003</v>
      </c>
      <c r="AD100" s="38">
        <f t="shared" si="65"/>
        <v>236.29200000000003</v>
      </c>
      <c r="AE100" s="38">
        <f t="shared" si="66"/>
        <v>2126.6280000000002</v>
      </c>
      <c r="AF100" s="38"/>
      <c r="AG100" s="32">
        <f t="shared" si="75"/>
        <v>2126.6280000000002</v>
      </c>
      <c r="AH100" s="70">
        <f t="shared" si="67"/>
        <v>0</v>
      </c>
      <c r="AI100" s="70"/>
      <c r="AJ100" s="36">
        <f t="shared" si="68"/>
        <v>0</v>
      </c>
      <c r="AK100" s="57">
        <v>0</v>
      </c>
      <c r="AL100" s="52">
        <f t="shared" si="69"/>
        <v>0</v>
      </c>
      <c r="AM100" s="57">
        <v>0</v>
      </c>
      <c r="AN100" s="52">
        <f t="shared" si="70"/>
        <v>0</v>
      </c>
      <c r="AO100" s="57">
        <v>0</v>
      </c>
      <c r="AP100" s="52">
        <f t="shared" si="71"/>
        <v>0</v>
      </c>
      <c r="AQ100" s="36">
        <f t="shared" si="55"/>
        <v>0</v>
      </c>
      <c r="AR100" s="52">
        <f t="shared" si="72"/>
        <v>0</v>
      </c>
      <c r="AS100" s="53"/>
    </row>
    <row r="101" spans="1:49" ht="15" outlineLevel="1" x14ac:dyDescent="0.35">
      <c r="A101" s="28">
        <v>12411</v>
      </c>
      <c r="B101" s="28">
        <v>12</v>
      </c>
      <c r="C101" s="29"/>
      <c r="D101" s="29"/>
      <c r="E101" s="28" t="s">
        <v>61</v>
      </c>
      <c r="F101" s="28"/>
      <c r="G101" s="28"/>
      <c r="H101" s="30"/>
      <c r="I101" s="30"/>
      <c r="J101" s="30"/>
      <c r="K101" s="49"/>
      <c r="L101" s="49"/>
      <c r="M101" s="56" t="s">
        <v>137</v>
      </c>
      <c r="N101" s="32">
        <v>2362.92</v>
      </c>
      <c r="O101" s="32">
        <v>2362.92</v>
      </c>
      <c r="P101" s="33"/>
      <c r="Q101" s="33"/>
      <c r="R101" s="33">
        <f>+N101</f>
        <v>2362.92</v>
      </c>
      <c r="S101" s="33"/>
      <c r="T101" s="33"/>
      <c r="U101" s="33"/>
      <c r="V101" s="28">
        <v>12631</v>
      </c>
      <c r="W101" s="34">
        <v>0.1</v>
      </c>
      <c r="X101" s="29">
        <f t="shared" si="64"/>
        <v>8.3333333333333332E-3</v>
      </c>
      <c r="Y101" s="29"/>
      <c r="Z101" s="29"/>
      <c r="AA101" s="29"/>
      <c r="AB101" s="36"/>
      <c r="AC101" s="36">
        <f t="shared" si="73"/>
        <v>236.29200000000003</v>
      </c>
      <c r="AD101" s="38">
        <f t="shared" si="65"/>
        <v>236.29200000000003</v>
      </c>
      <c r="AE101" s="38">
        <f t="shared" si="66"/>
        <v>2126.6280000000002</v>
      </c>
      <c r="AF101" s="38"/>
      <c r="AG101" s="32">
        <f t="shared" si="75"/>
        <v>2126.6280000000002</v>
      </c>
      <c r="AH101" s="70">
        <f t="shared" si="67"/>
        <v>0</v>
      </c>
      <c r="AI101" s="70"/>
      <c r="AJ101" s="36">
        <f t="shared" si="68"/>
        <v>0</v>
      </c>
      <c r="AK101" s="57">
        <v>0</v>
      </c>
      <c r="AL101" s="52">
        <f t="shared" si="69"/>
        <v>0</v>
      </c>
      <c r="AM101" s="57">
        <v>0</v>
      </c>
      <c r="AN101" s="52">
        <f t="shared" si="70"/>
        <v>0</v>
      </c>
      <c r="AO101" s="57">
        <v>0</v>
      </c>
      <c r="AP101" s="52">
        <f t="shared" si="71"/>
        <v>0</v>
      </c>
      <c r="AQ101" s="36">
        <f t="shared" si="55"/>
        <v>0</v>
      </c>
      <c r="AR101" s="52">
        <f t="shared" si="72"/>
        <v>0</v>
      </c>
      <c r="AS101" s="53"/>
    </row>
    <row r="102" spans="1:49" ht="15" outlineLevel="1" x14ac:dyDescent="0.35">
      <c r="A102" s="28">
        <v>12411</v>
      </c>
      <c r="B102" s="28">
        <v>12</v>
      </c>
      <c r="C102" s="29"/>
      <c r="D102" s="29"/>
      <c r="E102" s="28" t="s">
        <v>61</v>
      </c>
      <c r="F102" s="28"/>
      <c r="G102" s="28"/>
      <c r="H102" s="30"/>
      <c r="I102" s="30"/>
      <c r="J102" s="30"/>
      <c r="K102" s="49"/>
      <c r="L102" s="49"/>
      <c r="M102" s="56" t="s">
        <v>137</v>
      </c>
      <c r="N102" s="32">
        <v>2362.92</v>
      </c>
      <c r="O102" s="32">
        <v>2362.92</v>
      </c>
      <c r="P102" s="33"/>
      <c r="Q102" s="33"/>
      <c r="R102" s="33">
        <f t="shared" si="74"/>
        <v>2362.92</v>
      </c>
      <c r="S102" s="33"/>
      <c r="T102" s="33"/>
      <c r="U102" s="33"/>
      <c r="V102" s="28">
        <v>12631</v>
      </c>
      <c r="W102" s="34">
        <v>0.1</v>
      </c>
      <c r="X102" s="29">
        <f t="shared" si="64"/>
        <v>8.3333333333333332E-3</v>
      </c>
      <c r="Y102" s="29"/>
      <c r="Z102" s="29"/>
      <c r="AA102" s="29"/>
      <c r="AB102" s="29"/>
      <c r="AC102" s="36">
        <f t="shared" si="73"/>
        <v>236.29200000000003</v>
      </c>
      <c r="AD102" s="38">
        <f t="shared" si="65"/>
        <v>236.29200000000003</v>
      </c>
      <c r="AE102" s="38">
        <f t="shared" si="66"/>
        <v>2126.6280000000002</v>
      </c>
      <c r="AF102" s="38"/>
      <c r="AG102" s="32">
        <f t="shared" si="75"/>
        <v>2126.6280000000002</v>
      </c>
      <c r="AH102" s="70">
        <f t="shared" si="67"/>
        <v>0</v>
      </c>
      <c r="AI102" s="70"/>
      <c r="AJ102" s="36">
        <f t="shared" si="68"/>
        <v>0</v>
      </c>
      <c r="AK102" s="57">
        <v>0</v>
      </c>
      <c r="AL102" s="52">
        <f t="shared" si="69"/>
        <v>0</v>
      </c>
      <c r="AM102" s="57">
        <v>0</v>
      </c>
      <c r="AN102" s="52">
        <f t="shared" si="70"/>
        <v>0</v>
      </c>
      <c r="AO102" s="57">
        <v>0</v>
      </c>
      <c r="AP102" s="52">
        <f t="shared" si="71"/>
        <v>0</v>
      </c>
      <c r="AQ102" s="36">
        <f t="shared" si="55"/>
        <v>0</v>
      </c>
      <c r="AR102" s="52">
        <f t="shared" si="72"/>
        <v>0</v>
      </c>
      <c r="AS102" s="53"/>
    </row>
    <row r="103" spans="1:49" ht="15" outlineLevel="1" x14ac:dyDescent="0.35">
      <c r="A103" s="28">
        <v>12411</v>
      </c>
      <c r="B103" s="28">
        <v>12</v>
      </c>
      <c r="C103" s="29"/>
      <c r="D103" s="29"/>
      <c r="E103" s="28" t="s">
        <v>61</v>
      </c>
      <c r="F103" s="28"/>
      <c r="G103" s="28"/>
      <c r="H103" s="30"/>
      <c r="I103" s="30"/>
      <c r="J103" s="30"/>
      <c r="K103" s="49"/>
      <c r="L103" s="49"/>
      <c r="M103" s="56" t="s">
        <v>137</v>
      </c>
      <c r="N103" s="32">
        <v>2362.92</v>
      </c>
      <c r="O103" s="32">
        <v>2362.92</v>
      </c>
      <c r="P103" s="33"/>
      <c r="Q103" s="33"/>
      <c r="R103" s="33">
        <f t="shared" si="74"/>
        <v>2362.92</v>
      </c>
      <c r="S103" s="33"/>
      <c r="T103" s="33"/>
      <c r="U103" s="33"/>
      <c r="V103" s="28">
        <v>12631</v>
      </c>
      <c r="W103" s="34">
        <v>0.1</v>
      </c>
      <c r="X103" s="29">
        <f t="shared" si="64"/>
        <v>8.3333333333333332E-3</v>
      </c>
      <c r="Y103" s="29"/>
      <c r="Z103" s="57"/>
      <c r="AA103" s="57"/>
      <c r="AB103" s="57"/>
      <c r="AC103" s="36">
        <f t="shared" si="73"/>
        <v>236.29200000000003</v>
      </c>
      <c r="AD103" s="38">
        <f t="shared" si="65"/>
        <v>236.29200000000003</v>
      </c>
      <c r="AE103" s="38">
        <f t="shared" si="66"/>
        <v>2126.6280000000002</v>
      </c>
      <c r="AF103" s="38"/>
      <c r="AG103" s="32">
        <f t="shared" si="75"/>
        <v>2126.6280000000002</v>
      </c>
      <c r="AH103" s="70">
        <f t="shared" si="67"/>
        <v>0</v>
      </c>
      <c r="AI103" s="70"/>
      <c r="AJ103" s="36">
        <f t="shared" si="68"/>
        <v>0</v>
      </c>
      <c r="AK103" s="57">
        <v>0</v>
      </c>
      <c r="AL103" s="52">
        <f t="shared" si="69"/>
        <v>0</v>
      </c>
      <c r="AM103" s="57">
        <v>0</v>
      </c>
      <c r="AN103" s="52">
        <f t="shared" si="70"/>
        <v>0</v>
      </c>
      <c r="AO103" s="57">
        <v>0</v>
      </c>
      <c r="AP103" s="52">
        <f t="shared" si="71"/>
        <v>0</v>
      </c>
      <c r="AQ103" s="36">
        <f t="shared" si="55"/>
        <v>0</v>
      </c>
      <c r="AR103" s="52">
        <f t="shared" si="72"/>
        <v>0</v>
      </c>
      <c r="AS103" s="53"/>
      <c r="AT103" s="59"/>
      <c r="AU103" s="59"/>
      <c r="AV103" s="59"/>
      <c r="AW103" s="59"/>
    </row>
    <row r="104" spans="1:49" ht="15" outlineLevel="1" x14ac:dyDescent="0.35">
      <c r="A104" s="28">
        <v>12411</v>
      </c>
      <c r="B104" s="28">
        <v>12</v>
      </c>
      <c r="C104" s="29"/>
      <c r="D104" s="29"/>
      <c r="E104" s="28" t="s">
        <v>61</v>
      </c>
      <c r="F104" s="28"/>
      <c r="G104" s="28"/>
      <c r="H104" s="30"/>
      <c r="I104" s="30"/>
      <c r="J104" s="30"/>
      <c r="K104" s="49"/>
      <c r="L104" s="49"/>
      <c r="M104" s="56" t="s">
        <v>137</v>
      </c>
      <c r="N104" s="32">
        <v>2362.92</v>
      </c>
      <c r="O104" s="32">
        <v>2362.92</v>
      </c>
      <c r="P104" s="33"/>
      <c r="Q104" s="33"/>
      <c r="R104" s="33">
        <f t="shared" si="74"/>
        <v>2362.92</v>
      </c>
      <c r="S104" s="33"/>
      <c r="T104" s="33"/>
      <c r="U104" s="33"/>
      <c r="V104" s="28">
        <v>12631</v>
      </c>
      <c r="W104" s="34">
        <v>0.1</v>
      </c>
      <c r="X104" s="29">
        <f t="shared" si="64"/>
        <v>8.3333333333333332E-3</v>
      </c>
      <c r="Y104" s="29"/>
      <c r="Z104" s="57"/>
      <c r="AA104" s="57"/>
      <c r="AB104" s="57"/>
      <c r="AC104" s="36">
        <f t="shared" si="73"/>
        <v>236.29200000000003</v>
      </c>
      <c r="AD104" s="38">
        <f t="shared" si="65"/>
        <v>236.29200000000003</v>
      </c>
      <c r="AE104" s="38">
        <f t="shared" si="66"/>
        <v>2126.6280000000002</v>
      </c>
      <c r="AF104" s="38"/>
      <c r="AG104" s="32">
        <f t="shared" si="75"/>
        <v>2126.6280000000002</v>
      </c>
      <c r="AH104" s="70">
        <f t="shared" si="67"/>
        <v>0</v>
      </c>
      <c r="AI104" s="70"/>
      <c r="AJ104" s="36">
        <f t="shared" si="68"/>
        <v>0</v>
      </c>
      <c r="AK104" s="57">
        <v>0</v>
      </c>
      <c r="AL104" s="52">
        <f t="shared" si="69"/>
        <v>0</v>
      </c>
      <c r="AM104" s="57">
        <v>0</v>
      </c>
      <c r="AN104" s="52">
        <f t="shared" si="70"/>
        <v>0</v>
      </c>
      <c r="AO104" s="57">
        <v>0</v>
      </c>
      <c r="AP104" s="52">
        <f t="shared" si="71"/>
        <v>0</v>
      </c>
      <c r="AQ104" s="36">
        <f t="shared" si="55"/>
        <v>0</v>
      </c>
      <c r="AR104" s="52">
        <f t="shared" si="72"/>
        <v>0</v>
      </c>
      <c r="AS104" s="53"/>
      <c r="AT104" s="59"/>
      <c r="AU104" s="59"/>
      <c r="AV104" s="59"/>
      <c r="AW104" s="59"/>
    </row>
    <row r="105" spans="1:49" ht="15" outlineLevel="1" x14ac:dyDescent="0.35">
      <c r="A105" s="28">
        <v>12411</v>
      </c>
      <c r="B105" s="28">
        <v>12</v>
      </c>
      <c r="C105" s="29"/>
      <c r="D105" s="29"/>
      <c r="E105" s="28" t="s">
        <v>61</v>
      </c>
      <c r="F105" s="28"/>
      <c r="G105" s="28"/>
      <c r="H105" s="30"/>
      <c r="I105" s="30"/>
      <c r="J105" s="30"/>
      <c r="K105" s="49"/>
      <c r="L105" s="49"/>
      <c r="M105" s="56" t="s">
        <v>137</v>
      </c>
      <c r="N105" s="32">
        <v>2362.92</v>
      </c>
      <c r="O105" s="32">
        <v>2362.92</v>
      </c>
      <c r="P105" s="33"/>
      <c r="Q105" s="33"/>
      <c r="R105" s="33">
        <f t="shared" si="74"/>
        <v>2362.92</v>
      </c>
      <c r="S105" s="33"/>
      <c r="T105" s="33"/>
      <c r="U105" s="33"/>
      <c r="V105" s="28">
        <v>12631</v>
      </c>
      <c r="W105" s="34">
        <v>0.1</v>
      </c>
      <c r="X105" s="29">
        <f t="shared" si="64"/>
        <v>8.3333333333333332E-3</v>
      </c>
      <c r="Y105" s="29"/>
      <c r="Z105" s="57"/>
      <c r="AA105" s="57"/>
      <c r="AB105" s="57"/>
      <c r="AC105" s="36">
        <f t="shared" si="73"/>
        <v>236.29200000000003</v>
      </c>
      <c r="AD105" s="38">
        <f t="shared" si="65"/>
        <v>236.29200000000003</v>
      </c>
      <c r="AE105" s="38">
        <f t="shared" si="66"/>
        <v>2126.6280000000002</v>
      </c>
      <c r="AF105" s="38"/>
      <c r="AG105" s="32">
        <f t="shared" si="75"/>
        <v>2126.6280000000002</v>
      </c>
      <c r="AH105" s="70">
        <f t="shared" si="67"/>
        <v>0</v>
      </c>
      <c r="AI105" s="70"/>
      <c r="AJ105" s="36">
        <f t="shared" si="68"/>
        <v>0</v>
      </c>
      <c r="AK105" s="57">
        <v>0</v>
      </c>
      <c r="AL105" s="52">
        <f t="shared" si="69"/>
        <v>0</v>
      </c>
      <c r="AM105" s="57">
        <v>0</v>
      </c>
      <c r="AN105" s="52">
        <f t="shared" si="70"/>
        <v>0</v>
      </c>
      <c r="AO105" s="57">
        <v>0</v>
      </c>
      <c r="AP105" s="52">
        <f t="shared" si="71"/>
        <v>0</v>
      </c>
      <c r="AQ105" s="36">
        <f t="shared" si="55"/>
        <v>0</v>
      </c>
      <c r="AR105" s="52">
        <f t="shared" si="72"/>
        <v>0</v>
      </c>
      <c r="AS105" s="53"/>
      <c r="AT105" s="59"/>
      <c r="AU105" s="59"/>
      <c r="AV105" s="59"/>
      <c r="AW105" s="59"/>
    </row>
    <row r="106" spans="1:49" ht="15" outlineLevel="1" x14ac:dyDescent="0.35">
      <c r="A106" s="28">
        <v>12411</v>
      </c>
      <c r="B106" s="28">
        <v>12</v>
      </c>
      <c r="C106" s="29"/>
      <c r="D106" s="29"/>
      <c r="E106" s="28" t="s">
        <v>61</v>
      </c>
      <c r="F106" s="28"/>
      <c r="G106" s="28"/>
      <c r="H106" s="30"/>
      <c r="I106" s="30"/>
      <c r="J106" s="30"/>
      <c r="K106" s="49"/>
      <c r="L106" s="49"/>
      <c r="M106" s="56" t="s">
        <v>137</v>
      </c>
      <c r="N106" s="32">
        <v>2362.92</v>
      </c>
      <c r="O106" s="32">
        <v>2362.92</v>
      </c>
      <c r="P106" s="33"/>
      <c r="Q106" s="33"/>
      <c r="R106" s="33">
        <f t="shared" si="74"/>
        <v>2362.92</v>
      </c>
      <c r="S106" s="33"/>
      <c r="T106" s="33"/>
      <c r="U106" s="33"/>
      <c r="V106" s="28">
        <v>12631</v>
      </c>
      <c r="W106" s="34">
        <v>0.1</v>
      </c>
      <c r="X106" s="29">
        <f t="shared" si="64"/>
        <v>8.3333333333333332E-3</v>
      </c>
      <c r="Y106" s="29"/>
      <c r="Z106" s="57"/>
      <c r="AA106" s="57"/>
      <c r="AB106" s="57"/>
      <c r="AC106" s="36">
        <f t="shared" si="73"/>
        <v>236.29200000000003</v>
      </c>
      <c r="AD106" s="38">
        <f t="shared" si="65"/>
        <v>236.29200000000003</v>
      </c>
      <c r="AE106" s="38">
        <f t="shared" si="66"/>
        <v>2126.6280000000002</v>
      </c>
      <c r="AF106" s="38"/>
      <c r="AG106" s="32">
        <f t="shared" si="75"/>
        <v>2126.6280000000002</v>
      </c>
      <c r="AH106" s="70">
        <f t="shared" si="67"/>
        <v>0</v>
      </c>
      <c r="AI106" s="70"/>
      <c r="AJ106" s="36">
        <f t="shared" si="68"/>
        <v>0</v>
      </c>
      <c r="AK106" s="57">
        <v>0</v>
      </c>
      <c r="AL106" s="52">
        <f t="shared" si="69"/>
        <v>0</v>
      </c>
      <c r="AM106" s="57">
        <v>0</v>
      </c>
      <c r="AN106" s="52">
        <f t="shared" si="70"/>
        <v>0</v>
      </c>
      <c r="AO106" s="57">
        <v>0</v>
      </c>
      <c r="AP106" s="52">
        <f t="shared" si="71"/>
        <v>0</v>
      </c>
      <c r="AQ106" s="36">
        <f t="shared" si="55"/>
        <v>0</v>
      </c>
      <c r="AR106" s="52">
        <f t="shared" si="72"/>
        <v>0</v>
      </c>
      <c r="AS106" s="53"/>
      <c r="AT106" s="59"/>
      <c r="AU106" s="59"/>
      <c r="AV106" s="59"/>
      <c r="AW106" s="59"/>
    </row>
    <row r="107" spans="1:49" ht="15" outlineLevel="1" x14ac:dyDescent="0.35">
      <c r="A107" s="28">
        <v>12411</v>
      </c>
      <c r="B107" s="28">
        <v>12</v>
      </c>
      <c r="C107" s="29"/>
      <c r="D107" s="29"/>
      <c r="E107" s="28" t="s">
        <v>61</v>
      </c>
      <c r="F107" s="28"/>
      <c r="G107" s="28"/>
      <c r="H107" s="30"/>
      <c r="I107" s="30"/>
      <c r="J107" s="30"/>
      <c r="K107" s="49"/>
      <c r="L107" s="49"/>
      <c r="M107" s="56" t="s">
        <v>138</v>
      </c>
      <c r="N107" s="32">
        <v>2969.6</v>
      </c>
      <c r="O107" s="32">
        <v>2969.6</v>
      </c>
      <c r="P107" s="33"/>
      <c r="Q107" s="33"/>
      <c r="R107" s="33">
        <f t="shared" si="74"/>
        <v>2969.6</v>
      </c>
      <c r="S107" s="33"/>
      <c r="T107" s="33"/>
      <c r="U107" s="33"/>
      <c r="V107" s="28">
        <v>12631</v>
      </c>
      <c r="W107" s="34">
        <v>0.1</v>
      </c>
      <c r="X107" s="29">
        <f t="shared" si="64"/>
        <v>8.3333333333333332E-3</v>
      </c>
      <c r="Y107" s="29"/>
      <c r="Z107" s="57"/>
      <c r="AA107" s="57"/>
      <c r="AB107" s="57"/>
      <c r="AC107" s="36">
        <f t="shared" si="73"/>
        <v>296.95999999999998</v>
      </c>
      <c r="AD107" s="38">
        <f t="shared" si="65"/>
        <v>296.95999999999998</v>
      </c>
      <c r="AE107" s="38">
        <f t="shared" si="66"/>
        <v>2672.64</v>
      </c>
      <c r="AF107" s="38"/>
      <c r="AG107" s="32">
        <f>+AE107+372.37</f>
        <v>3045.0099999999998</v>
      </c>
      <c r="AH107" s="70">
        <f t="shared" si="67"/>
        <v>-372.36999999999989</v>
      </c>
      <c r="AI107" s="70">
        <v>0</v>
      </c>
      <c r="AJ107" s="36">
        <f t="shared" si="68"/>
        <v>-372.36999999999989</v>
      </c>
      <c r="AK107" s="57">
        <v>0</v>
      </c>
      <c r="AL107" s="80">
        <f>+AJ107+AK107</f>
        <v>-372.36999999999989</v>
      </c>
      <c r="AM107" s="57">
        <v>0</v>
      </c>
      <c r="AN107" s="80">
        <f>+AL107+AM107</f>
        <v>-372.36999999999989</v>
      </c>
      <c r="AO107" s="57">
        <v>0</v>
      </c>
      <c r="AP107" s="80"/>
      <c r="AQ107" s="36">
        <f t="shared" si="55"/>
        <v>-372.36999999999989</v>
      </c>
      <c r="AR107" s="80">
        <v>0</v>
      </c>
      <c r="AS107" s="81"/>
      <c r="AT107" s="59" t="s">
        <v>134</v>
      </c>
      <c r="AU107" s="59"/>
      <c r="AV107" s="59"/>
      <c r="AW107" s="59"/>
    </row>
    <row r="108" spans="1:49" ht="15" outlineLevel="1" x14ac:dyDescent="0.35">
      <c r="A108" s="28">
        <v>12411</v>
      </c>
      <c r="B108" s="28">
        <v>12</v>
      </c>
      <c r="C108" s="29"/>
      <c r="D108" s="29"/>
      <c r="E108" s="28" t="s">
        <v>61</v>
      </c>
      <c r="F108" s="28"/>
      <c r="G108" s="28"/>
      <c r="H108" s="30"/>
      <c r="I108" s="28"/>
      <c r="J108" s="28"/>
      <c r="K108" s="49"/>
      <c r="L108" s="49"/>
      <c r="M108" s="56" t="s">
        <v>139</v>
      </c>
      <c r="N108" s="32">
        <v>1654588.88</v>
      </c>
      <c r="O108" s="32">
        <v>1654588.88</v>
      </c>
      <c r="P108" s="33"/>
      <c r="Q108" s="33"/>
      <c r="R108" s="33">
        <f>+N108</f>
        <v>1654588.88</v>
      </c>
      <c r="S108" s="33"/>
      <c r="T108" s="33"/>
      <c r="U108" s="33"/>
      <c r="V108" s="28">
        <v>12631</v>
      </c>
      <c r="W108" s="34">
        <v>0.1</v>
      </c>
      <c r="X108" s="29">
        <f>+W108/12*1</f>
        <v>8.3333333333333332E-3</v>
      </c>
      <c r="Y108" s="29"/>
      <c r="Z108" s="57"/>
      <c r="AA108" s="57"/>
      <c r="AB108" s="57"/>
      <c r="AC108" s="36">
        <f t="shared" si="73"/>
        <v>165458.88800000001</v>
      </c>
      <c r="AD108" s="38">
        <f t="shared" si="65"/>
        <v>165458.88800000001</v>
      </c>
      <c r="AE108" s="38">
        <f t="shared" si="66"/>
        <v>1489129.9919999999</v>
      </c>
      <c r="AF108" s="38"/>
      <c r="AG108" s="32">
        <f t="shared" ref="AG108:AG109" si="77">+AE108</f>
        <v>1489129.9919999999</v>
      </c>
      <c r="AH108" s="70">
        <f t="shared" si="67"/>
        <v>0</v>
      </c>
      <c r="AI108" s="70"/>
      <c r="AJ108" s="36">
        <f t="shared" si="68"/>
        <v>0</v>
      </c>
      <c r="AK108" s="57">
        <v>0</v>
      </c>
      <c r="AL108" s="52">
        <f t="shared" ref="AL108:AL109" si="78">+AJ108-AK108</f>
        <v>0</v>
      </c>
      <c r="AM108" s="57">
        <v>0</v>
      </c>
      <c r="AN108" s="52">
        <f t="shared" ref="AN108:AN109" si="79">+AL108-AM108</f>
        <v>0</v>
      </c>
      <c r="AO108" s="57">
        <v>0</v>
      </c>
      <c r="AP108" s="52">
        <f t="shared" ref="AP108" si="80">+AM108-AN108</f>
        <v>0</v>
      </c>
      <c r="AQ108" s="36">
        <f t="shared" si="55"/>
        <v>0</v>
      </c>
      <c r="AR108" s="52">
        <f t="shared" ref="AR108" si="81">+AP108-AQ108</f>
        <v>0</v>
      </c>
      <c r="AS108" s="81"/>
      <c r="AT108" s="59"/>
      <c r="AU108" s="59"/>
      <c r="AV108" s="59"/>
      <c r="AW108" s="59"/>
    </row>
    <row r="109" spans="1:49" ht="15" outlineLevel="1" x14ac:dyDescent="0.35">
      <c r="A109" s="28">
        <v>12411</v>
      </c>
      <c r="B109" s="28">
        <v>8</v>
      </c>
      <c r="C109" s="29"/>
      <c r="D109" s="29"/>
      <c r="E109" s="28" t="s">
        <v>61</v>
      </c>
      <c r="F109" s="28"/>
      <c r="G109" s="28"/>
      <c r="H109" s="30"/>
      <c r="I109" s="28"/>
      <c r="J109" s="28" t="s">
        <v>140</v>
      </c>
      <c r="K109" s="49"/>
      <c r="L109" s="49"/>
      <c r="M109" s="56" t="s">
        <v>141</v>
      </c>
      <c r="N109" s="32">
        <v>7380</v>
      </c>
      <c r="O109" s="32">
        <v>7380</v>
      </c>
      <c r="P109" s="33"/>
      <c r="Q109" s="33"/>
      <c r="R109" s="33">
        <f>+N109</f>
        <v>7380</v>
      </c>
      <c r="S109" s="33"/>
      <c r="T109" s="33"/>
      <c r="U109" s="33"/>
      <c r="V109" s="28">
        <v>12631</v>
      </c>
      <c r="W109" s="34">
        <v>0.1</v>
      </c>
      <c r="X109" s="29">
        <f>+W109/12*1</f>
        <v>8.3333333333333332E-3</v>
      </c>
      <c r="Y109" s="29"/>
      <c r="Z109" s="57"/>
      <c r="AA109" s="57"/>
      <c r="AB109" s="57"/>
      <c r="AC109" s="36">
        <f t="shared" si="73"/>
        <v>738</v>
      </c>
      <c r="AD109" s="38">
        <f t="shared" si="65"/>
        <v>738</v>
      </c>
      <c r="AE109" s="38">
        <f t="shared" si="66"/>
        <v>6642</v>
      </c>
      <c r="AF109" s="38"/>
      <c r="AG109" s="32">
        <f t="shared" si="77"/>
        <v>6642</v>
      </c>
      <c r="AH109" s="70">
        <f t="shared" si="67"/>
        <v>0</v>
      </c>
      <c r="AI109" s="70"/>
      <c r="AJ109" s="36">
        <f t="shared" si="68"/>
        <v>0</v>
      </c>
      <c r="AK109" s="57">
        <v>0</v>
      </c>
      <c r="AL109" s="52">
        <f t="shared" si="78"/>
        <v>0</v>
      </c>
      <c r="AM109" s="57">
        <v>0</v>
      </c>
      <c r="AN109" s="52">
        <f t="shared" si="79"/>
        <v>0</v>
      </c>
      <c r="AO109" s="57">
        <v>0</v>
      </c>
      <c r="AP109" s="52">
        <f>+N109*W109/12</f>
        <v>61.5</v>
      </c>
      <c r="AQ109" s="82">
        <f>+AP109*1</f>
        <v>61.5</v>
      </c>
      <c r="AR109" s="52">
        <f>+N109-AQ109</f>
        <v>7318.5</v>
      </c>
      <c r="AS109" s="81"/>
      <c r="AT109" s="59"/>
      <c r="AU109" s="59"/>
      <c r="AV109" s="59"/>
      <c r="AW109" s="59"/>
    </row>
    <row r="110" spans="1:49" s="68" customFormat="1" ht="15.6" x14ac:dyDescent="0.4">
      <c r="A110" s="60" t="s">
        <v>142</v>
      </c>
      <c r="B110" s="60"/>
      <c r="C110" s="61"/>
      <c r="D110" s="61"/>
      <c r="E110" s="60"/>
      <c r="F110" s="60"/>
      <c r="G110" s="60"/>
      <c r="H110" s="62"/>
      <c r="I110" s="62"/>
      <c r="J110" s="62"/>
      <c r="K110" s="83"/>
      <c r="L110" s="83"/>
      <c r="M110" s="64" t="s">
        <v>143</v>
      </c>
      <c r="N110" s="65">
        <f>SUM(N86:N109)</f>
        <v>1715098.6664</v>
      </c>
      <c r="O110" s="65">
        <v>1715098.6664</v>
      </c>
      <c r="P110" s="66"/>
      <c r="Q110" s="66"/>
      <c r="R110" s="66">
        <f>SUBTOTAL(9,R90:R107)</f>
        <v>32632.586399999993</v>
      </c>
      <c r="S110" s="66"/>
      <c r="T110" s="66"/>
      <c r="U110" s="66"/>
      <c r="V110" s="60">
        <v>12631</v>
      </c>
      <c r="W110" s="84"/>
      <c r="X110" s="29"/>
      <c r="Y110" s="61"/>
      <c r="Z110" s="65">
        <f t="shared" ref="Z110:AS110" si="82">SUM(Z86:Z108)</f>
        <v>83.81</v>
      </c>
      <c r="AA110" s="65">
        <f t="shared" si="82"/>
        <v>1141.44</v>
      </c>
      <c r="AB110" s="65">
        <f t="shared" si="82"/>
        <v>8915.76</v>
      </c>
      <c r="AC110" s="65">
        <f t="shared" si="82"/>
        <v>171800.78664000001</v>
      </c>
      <c r="AD110" s="65">
        <f t="shared" si="82"/>
        <v>173026.03664000001</v>
      </c>
      <c r="AE110" s="65">
        <f t="shared" si="82"/>
        <v>1534692.6297599999</v>
      </c>
      <c r="AF110" s="65">
        <f t="shared" si="82"/>
        <v>0</v>
      </c>
      <c r="AG110" s="65">
        <f t="shared" si="82"/>
        <v>1534594.8097599999</v>
      </c>
      <c r="AH110" s="65">
        <f t="shared" si="82"/>
        <v>97.819999999999709</v>
      </c>
      <c r="AI110" s="65">
        <f t="shared" si="82"/>
        <v>0</v>
      </c>
      <c r="AJ110" s="65">
        <f>SUM(AJ86:AJ109)</f>
        <v>97.819999999999709</v>
      </c>
      <c r="AK110" s="65">
        <f t="shared" si="82"/>
        <v>0</v>
      </c>
      <c r="AL110" s="65">
        <f>SUM(AL86:AL109)</f>
        <v>97.819999999999709</v>
      </c>
      <c r="AM110" s="65">
        <f t="shared" si="82"/>
        <v>0</v>
      </c>
      <c r="AN110" s="65">
        <f>SUM(AN86:AN109)</f>
        <v>-372.36999999999989</v>
      </c>
      <c r="AO110" s="65">
        <f t="shared" ref="AO110" si="83">SUM(AO86:AO108)</f>
        <v>0</v>
      </c>
      <c r="AP110" s="65">
        <f t="shared" si="82"/>
        <v>0</v>
      </c>
      <c r="AQ110" s="65">
        <f>SUM(AQ86:AQ109)</f>
        <v>-310.86999999999989</v>
      </c>
      <c r="AR110" s="65">
        <f>SUM(AR90:AR109)</f>
        <v>7318.5</v>
      </c>
      <c r="AS110" s="65">
        <f t="shared" si="82"/>
        <v>0</v>
      </c>
      <c r="AT110" s="85"/>
      <c r="AU110" s="85"/>
      <c r="AV110" s="85"/>
      <c r="AW110" s="85"/>
    </row>
    <row r="111" spans="1:49" ht="15" x14ac:dyDescent="0.35">
      <c r="A111" s="28">
        <v>12467</v>
      </c>
      <c r="B111" s="28">
        <v>6</v>
      </c>
      <c r="C111" s="29"/>
      <c r="D111" s="29"/>
      <c r="E111" s="29"/>
      <c r="F111" s="29"/>
      <c r="G111" s="28" t="s">
        <v>61</v>
      </c>
      <c r="H111" s="29"/>
      <c r="I111" s="29"/>
      <c r="J111" s="29"/>
      <c r="K111" s="29"/>
      <c r="L111" s="29"/>
      <c r="M111" s="73" t="s">
        <v>144</v>
      </c>
      <c r="N111" s="74">
        <v>6380</v>
      </c>
      <c r="O111" s="74">
        <v>6380</v>
      </c>
      <c r="P111" s="75"/>
      <c r="Q111" s="75"/>
      <c r="R111" s="75"/>
      <c r="S111" s="75"/>
      <c r="T111" s="33">
        <f>+N111</f>
        <v>6380</v>
      </c>
      <c r="U111" s="75"/>
      <c r="V111" s="28">
        <v>126312</v>
      </c>
      <c r="W111" s="34">
        <v>0.1</v>
      </c>
      <c r="X111" s="29">
        <f>+W111/12*1</f>
        <v>8.3333333333333332E-3</v>
      </c>
      <c r="Y111" s="29"/>
      <c r="Z111" s="29"/>
      <c r="AA111" s="29"/>
      <c r="AB111" s="29"/>
      <c r="AC111" s="29"/>
      <c r="AD111" s="29"/>
      <c r="AE111" s="29"/>
      <c r="AF111" s="77">
        <v>6</v>
      </c>
      <c r="AG111" s="78"/>
      <c r="AH111" s="29"/>
      <c r="AI111" s="57">
        <f>+N111*X111*AF111</f>
        <v>319</v>
      </c>
      <c r="AJ111" s="57">
        <f>+N111-AI111</f>
        <v>6061</v>
      </c>
      <c r="AK111" s="40">
        <f>+N111*W111</f>
        <v>638</v>
      </c>
      <c r="AL111" s="76">
        <f>+AJ111-AK111</f>
        <v>5423</v>
      </c>
      <c r="AM111" s="40">
        <f>+Q111*Y111</f>
        <v>0</v>
      </c>
      <c r="AN111" s="76">
        <f t="shared" ref="AN111:AN113" si="84">+AL111-AM111</f>
        <v>5423</v>
      </c>
      <c r="AO111" s="40">
        <f>+S111*AA111</f>
        <v>0</v>
      </c>
      <c r="AP111" s="76">
        <f>+AM111-AN111</f>
        <v>-5423</v>
      </c>
      <c r="AQ111" s="76"/>
      <c r="AR111" s="76">
        <f t="shared" ref="AR111:AR113" si="85">+AP111-AQ111</f>
        <v>-5423</v>
      </c>
      <c r="AS111" s="76"/>
    </row>
    <row r="112" spans="1:49" ht="15" x14ac:dyDescent="0.35">
      <c r="A112" s="28">
        <v>12467</v>
      </c>
      <c r="B112" s="28">
        <v>6</v>
      </c>
      <c r="C112" s="29"/>
      <c r="D112" s="29"/>
      <c r="E112" s="29"/>
      <c r="F112" s="29"/>
      <c r="G112" s="28" t="s">
        <v>61</v>
      </c>
      <c r="H112" s="29"/>
      <c r="I112" s="29"/>
      <c r="J112" s="29"/>
      <c r="K112" s="29"/>
      <c r="L112" s="29"/>
      <c r="M112" s="73" t="s">
        <v>144</v>
      </c>
      <c r="N112" s="74">
        <v>6380</v>
      </c>
      <c r="O112" s="74">
        <v>6380</v>
      </c>
      <c r="P112" s="75"/>
      <c r="Q112" s="75"/>
      <c r="R112" s="75"/>
      <c r="S112" s="75"/>
      <c r="T112" s="33">
        <f>+N112</f>
        <v>6380</v>
      </c>
      <c r="U112" s="75"/>
      <c r="V112" s="28">
        <v>126312</v>
      </c>
      <c r="W112" s="34">
        <v>0.1</v>
      </c>
      <c r="X112" s="29">
        <f>+W112/12*1</f>
        <v>8.3333333333333332E-3</v>
      </c>
      <c r="Y112" s="29"/>
      <c r="Z112" s="29"/>
      <c r="AA112" s="29"/>
      <c r="AB112" s="29"/>
      <c r="AC112" s="29"/>
      <c r="AD112" s="29"/>
      <c r="AE112" s="29"/>
      <c r="AF112" s="77">
        <v>6</v>
      </c>
      <c r="AG112" s="78"/>
      <c r="AH112" s="29"/>
      <c r="AI112" s="57">
        <f>+N112*X112*AF112</f>
        <v>319</v>
      </c>
      <c r="AJ112" s="57">
        <f>+N112-AI112</f>
        <v>6061</v>
      </c>
      <c r="AK112" s="40">
        <f>+N112*W112</f>
        <v>638</v>
      </c>
      <c r="AL112" s="76">
        <f>+AJ112-AK112</f>
        <v>5423</v>
      </c>
      <c r="AM112" s="40">
        <f>+Q112*Y112</f>
        <v>0</v>
      </c>
      <c r="AN112" s="76">
        <f t="shared" si="84"/>
        <v>5423</v>
      </c>
      <c r="AO112" s="40">
        <f>+S112*AA112</f>
        <v>0</v>
      </c>
      <c r="AP112" s="76">
        <f>+AM112-AN112</f>
        <v>-5423</v>
      </c>
      <c r="AQ112" s="76"/>
      <c r="AR112" s="76">
        <f t="shared" si="85"/>
        <v>-5423</v>
      </c>
      <c r="AS112" s="76"/>
    </row>
    <row r="113" spans="1:49" ht="27.6" x14ac:dyDescent="0.35">
      <c r="A113" s="28">
        <v>12467</v>
      </c>
      <c r="B113" s="28">
        <v>10</v>
      </c>
      <c r="C113" s="29"/>
      <c r="D113" s="29"/>
      <c r="E113" s="29"/>
      <c r="F113" s="29"/>
      <c r="G113" s="28" t="s">
        <v>61</v>
      </c>
      <c r="H113" s="29"/>
      <c r="I113" s="29"/>
      <c r="J113" s="29"/>
      <c r="K113" s="29"/>
      <c r="L113" s="29"/>
      <c r="M113" s="73" t="s">
        <v>145</v>
      </c>
      <c r="N113" s="74">
        <v>13920</v>
      </c>
      <c r="O113" s="74">
        <v>13920</v>
      </c>
      <c r="P113" s="75"/>
      <c r="Q113" s="75"/>
      <c r="R113" s="75"/>
      <c r="S113" s="75"/>
      <c r="T113" s="33">
        <f>+N113</f>
        <v>13920</v>
      </c>
      <c r="U113" s="75"/>
      <c r="V113" s="28">
        <v>126312</v>
      </c>
      <c r="W113" s="34">
        <v>0.1</v>
      </c>
      <c r="X113" s="29">
        <f>+W113/12*1</f>
        <v>8.3333333333333332E-3</v>
      </c>
      <c r="Y113" s="29"/>
      <c r="Z113" s="29"/>
      <c r="AA113" s="29"/>
      <c r="AB113" s="29"/>
      <c r="AC113" s="29"/>
      <c r="AD113" s="29"/>
      <c r="AE113" s="29"/>
      <c r="AF113" s="77">
        <v>2</v>
      </c>
      <c r="AG113" s="78"/>
      <c r="AH113" s="29"/>
      <c r="AI113" s="57">
        <f>+N113*X113*AF113</f>
        <v>232</v>
      </c>
      <c r="AJ113" s="57">
        <f>+N113-AI113</f>
        <v>13688</v>
      </c>
      <c r="AK113" s="40">
        <f>+N113*W113</f>
        <v>1392</v>
      </c>
      <c r="AL113" s="76">
        <f>+AJ113-AK113</f>
        <v>12296</v>
      </c>
      <c r="AM113" s="40">
        <f>+Q113*Y113</f>
        <v>0</v>
      </c>
      <c r="AN113" s="76">
        <f t="shared" si="84"/>
        <v>12296</v>
      </c>
      <c r="AO113" s="40">
        <f>+S113*AA113</f>
        <v>0</v>
      </c>
      <c r="AP113" s="76">
        <f>+AM113-AN113</f>
        <v>-12296</v>
      </c>
      <c r="AQ113" s="76"/>
      <c r="AR113" s="76">
        <f t="shared" si="85"/>
        <v>-12296</v>
      </c>
      <c r="AS113" s="76"/>
    </row>
    <row r="114" spans="1:49" x14ac:dyDescent="0.3">
      <c r="M114" s="68" t="s">
        <v>146</v>
      </c>
      <c r="N114" s="86">
        <f t="array" ref="N114">SUM(+N70:N113)</f>
        <v>30816237.546800036</v>
      </c>
      <c r="O114" s="86">
        <v>30816237.546800036</v>
      </c>
      <c r="P114" s="86">
        <f t="array" ref="P114">SUM(+P70:P113)</f>
        <v>25241.599999999999</v>
      </c>
      <c r="Q114" s="86">
        <f t="array" ref="Q114">SUM(+Q70:Q113)</f>
        <v>460520</v>
      </c>
      <c r="R114" s="86">
        <f t="array" ref="R114">SUM(+R70:R113)</f>
        <v>1798787.5159999998</v>
      </c>
      <c r="S114" s="86">
        <f t="array" ref="S114">SUM(+S70:S113)</f>
        <v>0</v>
      </c>
      <c r="T114" s="86">
        <f t="array" ref="T114">SUM(+T70:T113)</f>
        <v>2409625.8199999998</v>
      </c>
      <c r="U114" s="86">
        <f t="array" ref="U114">SUM(+U70:U113)</f>
        <v>0</v>
      </c>
      <c r="V114" s="86">
        <f t="array" ref="V114">SUM(+V70:V113)</f>
        <v>2475751</v>
      </c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87"/>
      <c r="AH114" s="68"/>
      <c r="AI114" s="85">
        <f>SUM(AI70:AI113)</f>
        <v>1912328.7676193332</v>
      </c>
      <c r="AJ114" s="85">
        <f t="shared" ref="AJ114:AP114" si="86">SUM(AJ70:AJ113)+AJ105</f>
        <v>19584374.865534</v>
      </c>
      <c r="AK114" s="85">
        <f t="shared" si="86"/>
        <v>2342515.5974000003</v>
      </c>
      <c r="AL114" s="85">
        <f t="shared" si="86"/>
        <v>18978900.418134</v>
      </c>
      <c r="AM114" s="85">
        <f t="shared" si="86"/>
        <v>2562022.5275666672</v>
      </c>
      <c r="AN114" s="85">
        <f t="shared" si="86"/>
        <v>21631577.920567337</v>
      </c>
      <c r="AO114" s="85">
        <f t="shared" si="86"/>
        <v>0</v>
      </c>
      <c r="AP114" s="85">
        <f t="shared" si="86"/>
        <v>190421.37729722224</v>
      </c>
      <c r="AQ114" s="85"/>
      <c r="AR114" s="85">
        <f t="shared" ref="AR114" si="87">SUM(AR70:AR113)+AR105</f>
        <v>19680310.891392335</v>
      </c>
      <c r="AS114" s="85"/>
    </row>
    <row r="115" spans="1:49" ht="13.65" customHeight="1" x14ac:dyDescent="0.35">
      <c r="A115" s="28"/>
      <c r="B115" s="28"/>
      <c r="C115" s="29"/>
      <c r="D115" s="29"/>
      <c r="E115" s="28"/>
      <c r="F115" s="28"/>
      <c r="G115" s="28"/>
      <c r="H115" s="30"/>
      <c r="I115" s="30"/>
      <c r="J115" s="30"/>
      <c r="K115" s="49"/>
      <c r="L115" s="49"/>
      <c r="M115" s="88"/>
      <c r="N115" s="32"/>
      <c r="O115" s="32"/>
      <c r="P115" s="33"/>
      <c r="Q115" s="33"/>
      <c r="R115" s="33"/>
      <c r="S115" s="33"/>
      <c r="T115" s="33"/>
      <c r="U115" s="33"/>
      <c r="V115" s="28"/>
      <c r="W115" s="34"/>
      <c r="X115" s="89"/>
      <c r="Y115" s="29"/>
      <c r="Z115" s="57"/>
      <c r="AA115" s="57"/>
      <c r="AB115" s="57"/>
      <c r="AC115" s="36"/>
      <c r="AD115" s="38"/>
      <c r="AE115" s="38"/>
      <c r="AF115" s="38"/>
      <c r="AG115" s="36">
        <f>+N115*W115/12*AF115</f>
        <v>0</v>
      </c>
      <c r="AH115" s="38"/>
      <c r="AI115" s="36"/>
      <c r="AJ115" s="57"/>
      <c r="AK115" s="57"/>
      <c r="AL115" s="57"/>
      <c r="AM115" s="57"/>
      <c r="AN115" s="57"/>
      <c r="AO115" s="57"/>
      <c r="AP115" s="57"/>
      <c r="AQ115" s="59"/>
      <c r="AR115" s="57"/>
      <c r="AS115" s="59"/>
      <c r="AT115" s="59"/>
      <c r="AU115" s="59"/>
      <c r="AV115" s="59"/>
      <c r="AW115" s="59"/>
    </row>
    <row r="116" spans="1:49" ht="15" x14ac:dyDescent="0.35">
      <c r="A116" s="28"/>
      <c r="B116" s="28"/>
      <c r="C116" s="29"/>
      <c r="D116" s="29"/>
      <c r="E116" s="28"/>
      <c r="F116" s="28"/>
      <c r="G116" s="28"/>
      <c r="H116" s="30"/>
      <c r="I116" s="30"/>
      <c r="J116" s="30"/>
      <c r="K116" s="49"/>
      <c r="L116" s="49"/>
      <c r="M116" s="88"/>
      <c r="N116" s="32"/>
      <c r="O116" s="32"/>
      <c r="P116" s="33"/>
      <c r="Q116" s="33"/>
      <c r="R116" s="33"/>
      <c r="S116" s="33"/>
      <c r="T116" s="33"/>
      <c r="U116" s="33"/>
      <c r="V116" s="28"/>
      <c r="W116" s="34"/>
      <c r="X116" s="89"/>
      <c r="Y116" s="29"/>
      <c r="Z116" s="57"/>
      <c r="AA116" s="57"/>
      <c r="AB116" s="57"/>
      <c r="AC116" s="36"/>
      <c r="AD116" s="38"/>
      <c r="AE116" s="38"/>
      <c r="AF116" s="38"/>
      <c r="AG116" s="36"/>
      <c r="AH116" s="38"/>
      <c r="AI116" s="36"/>
      <c r="AJ116" s="57"/>
      <c r="AK116" s="57"/>
      <c r="AL116" s="57"/>
      <c r="AM116" s="57"/>
      <c r="AN116" s="57"/>
      <c r="AO116" s="57"/>
      <c r="AP116" s="57"/>
      <c r="AQ116" s="59"/>
      <c r="AR116" s="57"/>
      <c r="AS116" s="59"/>
      <c r="AT116" s="59"/>
      <c r="AU116" s="59"/>
      <c r="AV116" s="59"/>
      <c r="AW116" s="59"/>
    </row>
    <row r="117" spans="1:49" s="68" customFormat="1" ht="15.6" x14ac:dyDescent="0.4">
      <c r="A117" s="60"/>
      <c r="B117" s="60"/>
      <c r="C117" s="61"/>
      <c r="D117" s="61"/>
      <c r="E117" s="60"/>
      <c r="F117" s="60"/>
      <c r="G117" s="60"/>
      <c r="H117" s="62"/>
      <c r="I117" s="62"/>
      <c r="J117" s="62"/>
      <c r="K117" s="83"/>
      <c r="L117" s="83"/>
      <c r="M117" s="64"/>
      <c r="N117" s="65"/>
      <c r="O117" s="65"/>
      <c r="P117" s="66"/>
      <c r="Q117" s="66"/>
      <c r="R117" s="66"/>
      <c r="S117" s="66"/>
      <c r="T117" s="66"/>
      <c r="U117" s="66"/>
      <c r="V117" s="60"/>
      <c r="W117" s="84"/>
      <c r="X117" s="61"/>
      <c r="Y117" s="61"/>
      <c r="Z117" s="90"/>
      <c r="AA117" s="90"/>
      <c r="AB117" s="90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6"/>
      <c r="AQ117" s="66"/>
      <c r="AR117" s="66"/>
      <c r="AS117" s="66"/>
      <c r="AT117" s="85"/>
      <c r="AU117" s="85"/>
      <c r="AV117" s="85"/>
      <c r="AW117" s="85"/>
    </row>
    <row r="118" spans="1:49" s="68" customFormat="1" ht="15.6" x14ac:dyDescent="0.4">
      <c r="A118" s="60"/>
      <c r="B118" s="60"/>
      <c r="C118" s="61"/>
      <c r="D118" s="61"/>
      <c r="E118" s="60"/>
      <c r="F118" s="60"/>
      <c r="G118" s="60"/>
      <c r="H118" s="62"/>
      <c r="I118" s="62"/>
      <c r="J118" s="62"/>
      <c r="K118" s="83"/>
      <c r="L118" s="83"/>
      <c r="M118" s="91"/>
      <c r="N118" s="65"/>
      <c r="O118" s="65"/>
      <c r="P118" s="66"/>
      <c r="Q118" s="66"/>
      <c r="R118" s="66"/>
      <c r="S118" s="66"/>
      <c r="T118" s="66"/>
      <c r="U118" s="66"/>
      <c r="V118" s="60"/>
      <c r="W118" s="84"/>
      <c r="X118" s="61"/>
      <c r="Y118" s="61"/>
      <c r="Z118" s="90"/>
      <c r="AA118" s="90"/>
      <c r="AB118" s="90"/>
      <c r="AC118" s="66"/>
      <c r="AD118" s="66"/>
      <c r="AE118" s="66"/>
      <c r="AF118" s="66"/>
      <c r="AG118" s="66"/>
      <c r="AH118" s="66"/>
      <c r="AI118" s="66"/>
      <c r="AJ118" s="90"/>
      <c r="AK118" s="90"/>
      <c r="AL118" s="90"/>
      <c r="AM118" s="90"/>
      <c r="AN118" s="90"/>
      <c r="AO118" s="90"/>
      <c r="AP118" s="90"/>
      <c r="AQ118" s="85"/>
      <c r="AR118" s="90"/>
      <c r="AS118" s="85"/>
      <c r="AT118" s="85"/>
      <c r="AU118" s="85"/>
      <c r="AV118" s="85"/>
      <c r="AW118" s="85"/>
    </row>
    <row r="119" spans="1:49" s="68" customFormat="1" ht="15.6" x14ac:dyDescent="0.4">
      <c r="A119" s="60" t="s">
        <v>147</v>
      </c>
      <c r="B119" s="60"/>
      <c r="C119" s="61"/>
      <c r="D119" s="61"/>
      <c r="E119" s="60"/>
      <c r="F119" s="60"/>
      <c r="G119" s="60"/>
      <c r="H119" s="62"/>
      <c r="I119" s="62"/>
      <c r="J119" s="62"/>
      <c r="K119" s="83"/>
      <c r="L119" s="83"/>
      <c r="M119" s="92" t="s">
        <v>148</v>
      </c>
      <c r="N119" s="65">
        <f>+N117+N110+N85+N83+N24+N114</f>
        <v>57567057.619200036</v>
      </c>
      <c r="O119" s="65">
        <v>57558461.619200036</v>
      </c>
      <c r="P119" s="66">
        <f ca="1">SUBTOTAL(9,P6:P50)</f>
        <v>160895.47999999995</v>
      </c>
      <c r="Q119" s="66">
        <f ca="1">SUBTOTAL(9,Q6:Q50)</f>
        <v>3199</v>
      </c>
      <c r="R119" s="66">
        <f ca="1">SUBTOTAL(9,R6:R50)</f>
        <v>61113.463199999998</v>
      </c>
      <c r="S119" s="66">
        <f>SUBTOTAL(9,S6:S118)</f>
        <v>275994.69079999998</v>
      </c>
      <c r="T119" s="66">
        <f>SUBTOTAL(9,T6:T118)</f>
        <v>26694069.592000008</v>
      </c>
      <c r="U119" s="66">
        <f>SUBTOTAL(9,U6:U118)</f>
        <v>1783536.15</v>
      </c>
      <c r="V119" s="66"/>
      <c r="W119" s="84"/>
      <c r="X119" s="61"/>
      <c r="Y119" s="61"/>
      <c r="Z119" s="66">
        <f>+Z117+Z110+Z85+Z83+Z24</f>
        <v>4384.0085803333322</v>
      </c>
      <c r="AA119" s="66">
        <f>+AA117+AA110+AA85+AA83+AA24</f>
        <v>54755.062964000004</v>
      </c>
      <c r="AB119" s="66">
        <f>+AB85+AB24+AB83</f>
        <v>340740.857036</v>
      </c>
      <c r="AC119" s="66">
        <f>+AC117+AC110+AC85+AC83+AC24</f>
        <v>470673.15082400001</v>
      </c>
      <c r="AD119" s="66">
        <f>+AD117+AD110+AD85+AD83+AD24</f>
        <v>529812.22236833337</v>
      </c>
      <c r="AE119" s="66">
        <f>+AE117+AE110+AE85+AE83+AE24</f>
        <v>3202854.3892316669</v>
      </c>
      <c r="AF119" s="66"/>
      <c r="AG119" s="66">
        <f>+AG117+AG110+AG85+AG83+AG24</f>
        <v>1863091.2273113332</v>
      </c>
      <c r="AH119" s="66">
        <f>+AH85+AH24+AH83</f>
        <v>6350339.6827203333</v>
      </c>
      <c r="AI119" s="66">
        <f t="shared" ref="AI119:AS119" si="88">+AI85+AI24+AI83+AI110+AI117</f>
        <v>1863436.4856193331</v>
      </c>
      <c r="AJ119" s="66">
        <f t="shared" si="88"/>
        <v>19607913.547100998</v>
      </c>
      <c r="AK119" s="66">
        <f t="shared" si="88"/>
        <v>2387455.1182796005</v>
      </c>
      <c r="AL119" s="66">
        <f t="shared" si="88"/>
        <v>19003994.578821398</v>
      </c>
      <c r="AM119" s="66">
        <f t="shared" si="88"/>
        <v>2414934.6101666675</v>
      </c>
      <c r="AN119" s="66">
        <f t="shared" si="88"/>
        <v>19421283.068654738</v>
      </c>
      <c r="AO119" s="66">
        <f t="shared" si="88"/>
        <v>12540.449999999999</v>
      </c>
      <c r="AP119" s="66">
        <f t="shared" si="88"/>
        <v>202512.21572052225</v>
      </c>
      <c r="AQ119" s="66">
        <f t="shared" si="88"/>
        <v>1803866.2848874</v>
      </c>
      <c r="AR119" s="66">
        <f t="shared" si="88"/>
        <v>17629827.755642336</v>
      </c>
      <c r="AS119" s="66">
        <f t="shared" si="88"/>
        <v>13988.821425000002</v>
      </c>
      <c r="AT119" s="85"/>
      <c r="AU119" s="85"/>
      <c r="AV119" s="85"/>
      <c r="AW119" s="85"/>
    </row>
    <row r="120" spans="1:49" ht="31.5" customHeight="1" x14ac:dyDescent="0.4">
      <c r="A120" s="93"/>
      <c r="B120" s="93"/>
      <c r="C120" s="68"/>
      <c r="D120" s="68"/>
      <c r="E120" s="68"/>
      <c r="F120" s="68"/>
      <c r="G120" s="68"/>
      <c r="H120" s="68"/>
      <c r="I120" s="68"/>
      <c r="J120" s="68"/>
      <c r="K120" s="94"/>
      <c r="L120" s="94"/>
      <c r="M120" s="25" t="s">
        <v>149</v>
      </c>
      <c r="N120" s="95"/>
      <c r="O120" s="95"/>
      <c r="P120" s="96"/>
      <c r="Q120" s="96"/>
      <c r="R120" s="96"/>
      <c r="S120" s="96"/>
      <c r="T120" s="96"/>
      <c r="U120" s="96"/>
      <c r="V120" s="96"/>
      <c r="W120" s="97"/>
      <c r="X120" s="97"/>
      <c r="Y120" s="68"/>
      <c r="Z120" s="85"/>
      <c r="AA120" s="85">
        <f>+AA119+Z119</f>
        <v>59139.071544333339</v>
      </c>
      <c r="AB120" s="85">
        <f>+N119-Z119-AA119</f>
        <v>57507918.547655702</v>
      </c>
      <c r="AC120" s="85">
        <f>+AC119+AA119+Z119</f>
        <v>529812.22236833337</v>
      </c>
      <c r="AD120" s="98"/>
      <c r="AE120" s="59"/>
      <c r="AF120" s="59"/>
      <c r="AG120" s="66">
        <f>+AG119+AC120</f>
        <v>2392903.4496796667</v>
      </c>
      <c r="AH120" s="59"/>
      <c r="AI120" s="59">
        <f>+AI119+AG120</f>
        <v>4256339.9352989998</v>
      </c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59"/>
      <c r="AU120" s="59"/>
      <c r="AV120" s="59"/>
      <c r="AW120" s="59"/>
    </row>
    <row r="121" spans="1:49" ht="15" x14ac:dyDescent="0.35">
      <c r="K121" s="99"/>
      <c r="L121" s="99"/>
      <c r="M121" s="99"/>
      <c r="N121" s="100"/>
      <c r="O121" s="100"/>
      <c r="P121" s="101"/>
      <c r="Q121" s="101"/>
      <c r="R121" s="101"/>
      <c r="S121" s="101"/>
      <c r="T121" s="101"/>
      <c r="U121" s="101"/>
      <c r="V121" s="101"/>
      <c r="W121" s="102"/>
      <c r="X121" s="102"/>
      <c r="Z121" s="59"/>
      <c r="AA121" s="59"/>
      <c r="AB121" s="59"/>
      <c r="AC121" s="59"/>
      <c r="AD121" s="98"/>
      <c r="AE121" s="59"/>
      <c r="AF121" s="59"/>
      <c r="AH121" s="59"/>
      <c r="AI121" s="59">
        <v>553886.06000000006</v>
      </c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</row>
    <row r="122" spans="1:49" ht="15" x14ac:dyDescent="0.35">
      <c r="K122" s="99"/>
      <c r="L122" s="99"/>
      <c r="M122" s="99"/>
      <c r="N122" s="100"/>
      <c r="O122" s="100"/>
      <c r="P122" s="101"/>
      <c r="Q122" s="101"/>
      <c r="R122" s="101"/>
      <c r="S122" s="101"/>
      <c r="T122" s="101"/>
      <c r="U122" s="101"/>
      <c r="V122" s="101"/>
      <c r="W122" s="102"/>
      <c r="X122" s="102"/>
      <c r="Z122" s="59"/>
      <c r="AA122" s="59"/>
      <c r="AB122" s="59"/>
      <c r="AC122" s="59"/>
      <c r="AD122" s="98"/>
      <c r="AE122" s="59"/>
      <c r="AF122" s="59"/>
      <c r="AH122" s="59"/>
      <c r="AI122" s="59">
        <f>+AI121-AI120</f>
        <v>-3702453.8752989997</v>
      </c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</row>
    <row r="123" spans="1:49" ht="41.4" x14ac:dyDescent="0.3">
      <c r="M123" s="25" t="s">
        <v>146</v>
      </c>
      <c r="N123" s="103">
        <f>+N119</f>
        <v>57567057.619200036</v>
      </c>
      <c r="O123" s="103">
        <v>57558461.619200036</v>
      </c>
      <c r="P123" s="86">
        <f ca="1">+#REF!+P119</f>
        <v>347032.55999999994</v>
      </c>
      <c r="Q123" s="86">
        <f ca="1">+#REF!+Q119</f>
        <v>466918</v>
      </c>
      <c r="R123" s="86">
        <f ca="1">+#REF!+R119</f>
        <v>1913634.4424000001</v>
      </c>
      <c r="S123" s="86" t="e">
        <f>+#REF!+S119</f>
        <v>#REF!</v>
      </c>
      <c r="T123" s="86" t="e">
        <f>+#REF!+T119</f>
        <v>#REF!</v>
      </c>
      <c r="U123" s="86" t="e">
        <f>+#REF!+U119</f>
        <v>#REF!</v>
      </c>
      <c r="V123" s="104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87"/>
      <c r="AH123" s="25" t="s">
        <v>149</v>
      </c>
      <c r="AI123" s="85" t="e">
        <f>+#REF!+AI120</f>
        <v>#REF!</v>
      </c>
      <c r="AJ123" s="85"/>
    </row>
    <row r="124" spans="1:49" hidden="1" x14ac:dyDescent="0.3">
      <c r="M124" s="68" t="s">
        <v>150</v>
      </c>
      <c r="N124" s="86"/>
      <c r="O124" s="86"/>
      <c r="AJ124" s="85">
        <f>+'[1]BALANZA 2022'!X86</f>
        <v>19261674.009999998</v>
      </c>
    </row>
    <row r="125" spans="1:49" hidden="1" x14ac:dyDescent="0.3">
      <c r="M125" s="68" t="s">
        <v>151</v>
      </c>
      <c r="N125" s="86">
        <f>+'[1]BALANZA 2022'!X82</f>
        <v>20472623.34</v>
      </c>
      <c r="O125" s="86">
        <v>0</v>
      </c>
      <c r="U125" s="86">
        <f ca="1">SUM(P123:U123)</f>
        <v>55388854.228000015</v>
      </c>
    </row>
    <row r="126" spans="1:49" hidden="1" x14ac:dyDescent="0.3">
      <c r="M126" s="68"/>
      <c r="N126" s="86"/>
      <c r="O126" s="86"/>
      <c r="AJ126" s="85" t="e">
        <f>+#REF!-AJ124</f>
        <v>#REF!</v>
      </c>
    </row>
    <row r="127" spans="1:49" hidden="1" x14ac:dyDescent="0.3">
      <c r="N127" s="76">
        <f>+N125-N123</f>
        <v>-37094434.279200032</v>
      </c>
      <c r="O127" s="76">
        <v>-57558461.619200036</v>
      </c>
    </row>
    <row r="128" spans="1:49" hidden="1" x14ac:dyDescent="0.3">
      <c r="M128" s="2" t="s">
        <v>152</v>
      </c>
      <c r="U128" s="105">
        <v>45320</v>
      </c>
    </row>
    <row r="129" spans="13:21" hidden="1" x14ac:dyDescent="0.3">
      <c r="M129" s="2" t="s">
        <v>153</v>
      </c>
      <c r="N129" s="106">
        <f>+'[1]BALANZA 2022'!W61</f>
        <v>20242363.34</v>
      </c>
      <c r="O129" s="106">
        <v>0</v>
      </c>
      <c r="U129" s="106">
        <v>22025899.489999998</v>
      </c>
    </row>
    <row r="130" spans="13:21" hidden="1" x14ac:dyDescent="0.3">
      <c r="M130" s="2" t="s">
        <v>154</v>
      </c>
      <c r="N130" s="106">
        <f>+'[1]BALANZA 2022'!W82</f>
        <v>230260</v>
      </c>
      <c r="O130" s="106">
        <v>20472623.34</v>
      </c>
      <c r="U130" s="106">
        <v>230260</v>
      </c>
    </row>
    <row r="131" spans="13:21" hidden="1" x14ac:dyDescent="0.3">
      <c r="N131" s="106">
        <f>SUM(N129:N130)</f>
        <v>20472623.34</v>
      </c>
      <c r="O131" s="106">
        <v>20472623.34</v>
      </c>
      <c r="U131" s="106">
        <f>+U129+U130</f>
        <v>22256159.489999998</v>
      </c>
    </row>
    <row r="132" spans="13:21" hidden="1" x14ac:dyDescent="0.3"/>
    <row r="133" spans="13:21" hidden="1" x14ac:dyDescent="0.3"/>
    <row r="134" spans="13:21" hidden="1" x14ac:dyDescent="0.3"/>
    <row r="135" spans="13:21" hidden="1" x14ac:dyDescent="0.3"/>
    <row r="136" spans="13:21" hidden="1" x14ac:dyDescent="0.3"/>
    <row r="137" spans="13:21" hidden="1" x14ac:dyDescent="0.3"/>
    <row r="138" spans="13:21" hidden="1" x14ac:dyDescent="0.3"/>
    <row r="139" spans="13:21" hidden="1" x14ac:dyDescent="0.3"/>
    <row r="140" spans="13:21" hidden="1" x14ac:dyDescent="0.3"/>
    <row r="141" spans="13:21" hidden="1" x14ac:dyDescent="0.3"/>
    <row r="142" spans="13:21" hidden="1" x14ac:dyDescent="0.3"/>
    <row r="143" spans="13:21" hidden="1" x14ac:dyDescent="0.3"/>
    <row r="144" spans="13:21" hidden="1" x14ac:dyDescent="0.3"/>
    <row r="145" hidden="1" x14ac:dyDescent="0.3"/>
    <row r="146" hidden="1" x14ac:dyDescent="0.3"/>
    <row r="147" hidden="1" x14ac:dyDescent="0.3"/>
    <row r="148" hidden="1" x14ac:dyDescent="0.3"/>
  </sheetData>
  <autoFilter ref="A5:BF122" xr:uid="{00000000-0009-0000-0000-000000000000}"/>
  <mergeCells count="2">
    <mergeCell ref="B4:E4"/>
    <mergeCell ref="K4:N4"/>
  </mergeCells>
  <printOptions horizontalCentered="1"/>
  <pageMargins left="0.43307086614173229" right="0.43307086614173229" top="0.35433070866141736" bottom="0.35433070866141736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2:D138"/>
  <sheetViews>
    <sheetView showGridLines="0" tabSelected="1" topLeftCell="A87" zoomScaleNormal="100" workbookViewId="0">
      <selection activeCell="B103" sqref="B103"/>
    </sheetView>
  </sheetViews>
  <sheetFormatPr baseColWidth="10" defaultColWidth="11.44140625" defaultRowHeight="12" customHeight="1" outlineLevelRow="1" x14ac:dyDescent="0.25"/>
  <cols>
    <col min="1" max="1" width="12.33203125" style="146" customWidth="1"/>
    <col min="2" max="2" width="102.109375" style="131" bestFit="1" customWidth="1"/>
    <col min="3" max="3" width="21.88671875" style="131" customWidth="1"/>
    <col min="4" max="4" width="12.6640625" style="131" bestFit="1" customWidth="1"/>
    <col min="5" max="16384" width="11.44140625" style="131"/>
  </cols>
  <sheetData>
    <row r="2" spans="1:3" ht="12" customHeight="1" x14ac:dyDescent="0.25">
      <c r="A2" s="152" t="s">
        <v>159</v>
      </c>
      <c r="B2" s="153"/>
      <c r="C2" s="154"/>
    </row>
    <row r="3" spans="1:3" ht="12" customHeight="1" x14ac:dyDescent="0.25">
      <c r="A3" s="152" t="s">
        <v>156</v>
      </c>
      <c r="B3" s="153"/>
      <c r="C3" s="154"/>
    </row>
    <row r="4" spans="1:3" ht="12" customHeight="1" x14ac:dyDescent="0.25">
      <c r="A4" s="147"/>
      <c r="B4" s="132"/>
      <c r="C4" s="132"/>
    </row>
    <row r="5" spans="1:3" s="133" customFormat="1" ht="12" customHeight="1" x14ac:dyDescent="0.3">
      <c r="A5" s="148" t="s">
        <v>158</v>
      </c>
      <c r="B5" s="143" t="s">
        <v>25</v>
      </c>
      <c r="C5" s="144" t="s">
        <v>26</v>
      </c>
    </row>
    <row r="6" spans="1:3" ht="12" customHeight="1" outlineLevel="1" x14ac:dyDescent="0.25">
      <c r="A6" s="149">
        <v>43435</v>
      </c>
      <c r="B6" s="134" t="s">
        <v>60</v>
      </c>
      <c r="C6" s="128">
        <v>27055.84</v>
      </c>
    </row>
    <row r="7" spans="1:3" ht="12" customHeight="1" outlineLevel="1" x14ac:dyDescent="0.25">
      <c r="A7" s="149">
        <v>43435</v>
      </c>
      <c r="B7" s="134" t="s">
        <v>60</v>
      </c>
      <c r="C7" s="128">
        <v>27055.84</v>
      </c>
    </row>
    <row r="8" spans="1:3" ht="12" customHeight="1" outlineLevel="1" x14ac:dyDescent="0.25">
      <c r="A8" s="149">
        <v>43435</v>
      </c>
      <c r="B8" s="134" t="s">
        <v>64</v>
      </c>
      <c r="C8" s="128">
        <v>12582.52</v>
      </c>
    </row>
    <row r="9" spans="1:3" ht="12" customHeight="1" outlineLevel="1" x14ac:dyDescent="0.25">
      <c r="A9" s="149">
        <v>43435</v>
      </c>
      <c r="B9" s="134" t="s">
        <v>64</v>
      </c>
      <c r="C9" s="128">
        <v>12582.52</v>
      </c>
    </row>
    <row r="10" spans="1:3" ht="12" customHeight="1" outlineLevel="1" x14ac:dyDescent="0.25">
      <c r="A10" s="149">
        <v>43435</v>
      </c>
      <c r="B10" s="134" t="s">
        <v>64</v>
      </c>
      <c r="C10" s="128">
        <v>12582.52</v>
      </c>
    </row>
    <row r="11" spans="1:3" ht="12" customHeight="1" outlineLevel="1" x14ac:dyDescent="0.25">
      <c r="A11" s="149">
        <v>43435</v>
      </c>
      <c r="B11" s="134" t="s">
        <v>64</v>
      </c>
      <c r="C11" s="128">
        <v>12582.52</v>
      </c>
    </row>
    <row r="12" spans="1:3" ht="12" customHeight="1" outlineLevel="1" x14ac:dyDescent="0.25">
      <c r="A12" s="149">
        <v>43435</v>
      </c>
      <c r="B12" s="134" t="s">
        <v>64</v>
      </c>
      <c r="C12" s="128">
        <v>12582.52</v>
      </c>
    </row>
    <row r="13" spans="1:3" ht="12" customHeight="1" outlineLevel="1" x14ac:dyDescent="0.25">
      <c r="A13" s="149">
        <v>43435</v>
      </c>
      <c r="B13" s="134" t="s">
        <v>64</v>
      </c>
      <c r="C13" s="128">
        <v>12582.52</v>
      </c>
    </row>
    <row r="14" spans="1:3" ht="12" customHeight="1" outlineLevel="1" x14ac:dyDescent="0.25">
      <c r="A14" s="149">
        <v>43435</v>
      </c>
      <c r="B14" s="134" t="s">
        <v>64</v>
      </c>
      <c r="C14" s="128">
        <v>12582.52</v>
      </c>
    </row>
    <row r="15" spans="1:3" ht="12" customHeight="1" outlineLevel="1" x14ac:dyDescent="0.25">
      <c r="A15" s="149">
        <v>43435</v>
      </c>
      <c r="B15" s="134" t="s">
        <v>72</v>
      </c>
      <c r="C15" s="128">
        <v>3521.76</v>
      </c>
    </row>
    <row r="16" spans="1:3" ht="12" customHeight="1" outlineLevel="1" x14ac:dyDescent="0.25">
      <c r="A16" s="149">
        <v>44228</v>
      </c>
      <c r="B16" s="135" t="s">
        <v>73</v>
      </c>
      <c r="C16" s="128">
        <v>27755.204000000002</v>
      </c>
    </row>
    <row r="17" spans="1:3" ht="12" customHeight="1" outlineLevel="1" x14ac:dyDescent="0.25">
      <c r="A17" s="149">
        <v>44228</v>
      </c>
      <c r="B17" s="135" t="s">
        <v>75</v>
      </c>
      <c r="C17" s="128">
        <v>27755.204000000002</v>
      </c>
    </row>
    <row r="18" spans="1:3" ht="12" customHeight="1" outlineLevel="1" x14ac:dyDescent="0.25">
      <c r="A18" s="149">
        <v>44228</v>
      </c>
      <c r="B18" s="135" t="s">
        <v>76</v>
      </c>
      <c r="C18" s="128">
        <v>27755.204000000002</v>
      </c>
    </row>
    <row r="19" spans="1:3" ht="12" customHeight="1" outlineLevel="1" x14ac:dyDescent="0.25">
      <c r="A19" s="149">
        <v>44228</v>
      </c>
      <c r="B19" s="135" t="s">
        <v>78</v>
      </c>
      <c r="C19" s="128">
        <v>12633</v>
      </c>
    </row>
    <row r="20" spans="1:3" ht="12" customHeight="1" outlineLevel="1" x14ac:dyDescent="0.25">
      <c r="A20" s="149">
        <v>44228</v>
      </c>
      <c r="B20" s="135" t="s">
        <v>78</v>
      </c>
      <c r="C20" s="128">
        <v>12633</v>
      </c>
    </row>
    <row r="21" spans="1:3" ht="12" customHeight="1" outlineLevel="1" x14ac:dyDescent="0.25">
      <c r="A21" s="149">
        <v>44228</v>
      </c>
      <c r="B21" s="135" t="s">
        <v>78</v>
      </c>
      <c r="C21" s="128">
        <v>12633</v>
      </c>
    </row>
    <row r="22" spans="1:3" ht="12" customHeight="1" outlineLevel="1" x14ac:dyDescent="0.25">
      <c r="A22" s="149">
        <v>44470</v>
      </c>
      <c r="B22" s="136" t="s">
        <v>81</v>
      </c>
      <c r="C22" s="128">
        <v>10896.32</v>
      </c>
    </row>
    <row r="23" spans="1:3" ht="12" customHeight="1" outlineLevel="1" x14ac:dyDescent="0.25">
      <c r="A23" s="149">
        <v>43800</v>
      </c>
      <c r="B23" s="136" t="s">
        <v>83</v>
      </c>
      <c r="C23" s="128">
        <v>3199</v>
      </c>
    </row>
    <row r="24" spans="1:3" ht="12" customHeight="1" outlineLevel="1" x14ac:dyDescent="0.25">
      <c r="A24" s="149">
        <v>43405</v>
      </c>
      <c r="B24" s="134" t="s">
        <v>86</v>
      </c>
      <c r="C24" s="128">
        <v>742.4</v>
      </c>
    </row>
    <row r="25" spans="1:3" ht="12" customHeight="1" outlineLevel="1" x14ac:dyDescent="0.25">
      <c r="A25" s="149">
        <v>43405</v>
      </c>
      <c r="B25" s="134" t="s">
        <v>86</v>
      </c>
      <c r="C25" s="128">
        <v>742.4</v>
      </c>
    </row>
    <row r="26" spans="1:3" ht="12" customHeight="1" outlineLevel="1" x14ac:dyDescent="0.25">
      <c r="A26" s="149">
        <v>43405</v>
      </c>
      <c r="B26" s="134" t="s">
        <v>86</v>
      </c>
      <c r="C26" s="128">
        <v>742.4</v>
      </c>
    </row>
    <row r="27" spans="1:3" ht="12" customHeight="1" outlineLevel="1" x14ac:dyDescent="0.25">
      <c r="A27" s="149">
        <v>43405</v>
      </c>
      <c r="B27" s="134" t="s">
        <v>86</v>
      </c>
      <c r="C27" s="128">
        <v>742.4</v>
      </c>
    </row>
    <row r="28" spans="1:3" ht="12" customHeight="1" outlineLevel="1" x14ac:dyDescent="0.25">
      <c r="A28" s="149">
        <v>43405</v>
      </c>
      <c r="B28" s="134" t="s">
        <v>86</v>
      </c>
      <c r="C28" s="128">
        <v>742.4</v>
      </c>
    </row>
    <row r="29" spans="1:3" ht="12" customHeight="1" outlineLevel="1" x14ac:dyDescent="0.25">
      <c r="A29" s="149">
        <v>43405</v>
      </c>
      <c r="B29" s="134" t="s">
        <v>86</v>
      </c>
      <c r="C29" s="128">
        <v>742.4</v>
      </c>
    </row>
    <row r="30" spans="1:3" ht="12" customHeight="1" outlineLevel="1" x14ac:dyDescent="0.25">
      <c r="A30" s="149">
        <v>43405</v>
      </c>
      <c r="B30" s="134" t="s">
        <v>86</v>
      </c>
      <c r="C30" s="128">
        <v>742.4</v>
      </c>
    </row>
    <row r="31" spans="1:3" ht="12" customHeight="1" outlineLevel="1" x14ac:dyDescent="0.25">
      <c r="A31" s="149">
        <v>43405</v>
      </c>
      <c r="B31" s="134" t="s">
        <v>86</v>
      </c>
      <c r="C31" s="128">
        <v>742.4</v>
      </c>
    </row>
    <row r="32" spans="1:3" ht="12" customHeight="1" outlineLevel="1" x14ac:dyDescent="0.25">
      <c r="A32" s="149">
        <v>43405</v>
      </c>
      <c r="B32" s="134" t="s">
        <v>86</v>
      </c>
      <c r="C32" s="128">
        <v>742.4</v>
      </c>
    </row>
    <row r="33" spans="1:3" ht="12" customHeight="1" outlineLevel="1" x14ac:dyDescent="0.25">
      <c r="A33" s="149">
        <v>43405</v>
      </c>
      <c r="B33" s="134" t="s">
        <v>87</v>
      </c>
      <c r="C33" s="128">
        <v>174</v>
      </c>
    </row>
    <row r="34" spans="1:3" ht="12" customHeight="1" outlineLevel="1" x14ac:dyDescent="0.25">
      <c r="A34" s="149">
        <v>43405</v>
      </c>
      <c r="B34" s="134" t="s">
        <v>87</v>
      </c>
      <c r="C34" s="128">
        <v>174</v>
      </c>
    </row>
    <row r="35" spans="1:3" ht="12" customHeight="1" outlineLevel="1" x14ac:dyDescent="0.25">
      <c r="A35" s="149">
        <v>43405</v>
      </c>
      <c r="B35" s="134" t="s">
        <v>87</v>
      </c>
      <c r="C35" s="128">
        <v>174</v>
      </c>
    </row>
    <row r="36" spans="1:3" ht="12" customHeight="1" outlineLevel="1" x14ac:dyDescent="0.25">
      <c r="A36" s="149">
        <v>43405</v>
      </c>
      <c r="B36" s="134" t="s">
        <v>87</v>
      </c>
      <c r="C36" s="128">
        <v>174</v>
      </c>
    </row>
    <row r="37" spans="1:3" ht="12" customHeight="1" outlineLevel="1" x14ac:dyDescent="0.25">
      <c r="A37" s="149">
        <v>43405</v>
      </c>
      <c r="B37" s="134" t="s">
        <v>87</v>
      </c>
      <c r="C37" s="128">
        <v>174</v>
      </c>
    </row>
    <row r="38" spans="1:3" ht="12" customHeight="1" outlineLevel="1" x14ac:dyDescent="0.25">
      <c r="A38" s="149">
        <v>43405</v>
      </c>
      <c r="B38" s="134" t="s">
        <v>87</v>
      </c>
      <c r="C38" s="128">
        <v>174</v>
      </c>
    </row>
    <row r="39" spans="1:3" ht="12" customHeight="1" outlineLevel="1" x14ac:dyDescent="0.25">
      <c r="A39" s="149">
        <v>43405</v>
      </c>
      <c r="B39" s="134" t="s">
        <v>87</v>
      </c>
      <c r="C39" s="128">
        <v>174</v>
      </c>
    </row>
    <row r="40" spans="1:3" ht="12" customHeight="1" outlineLevel="1" x14ac:dyDescent="0.25">
      <c r="A40" s="149">
        <v>43405</v>
      </c>
      <c r="B40" s="134" t="s">
        <v>87</v>
      </c>
      <c r="C40" s="128">
        <v>174</v>
      </c>
    </row>
    <row r="41" spans="1:3" ht="12" customHeight="1" outlineLevel="1" x14ac:dyDescent="0.25">
      <c r="A41" s="149">
        <v>43405</v>
      </c>
      <c r="B41" s="134" t="s">
        <v>87</v>
      </c>
      <c r="C41" s="128">
        <v>174</v>
      </c>
    </row>
    <row r="42" spans="1:3" ht="12" customHeight="1" outlineLevel="1" x14ac:dyDescent="0.25">
      <c r="A42" s="149">
        <v>43405</v>
      </c>
      <c r="B42" s="137" t="s">
        <v>88</v>
      </c>
      <c r="C42" s="128">
        <v>6936.7999999999993</v>
      </c>
    </row>
    <row r="43" spans="1:3" ht="12" customHeight="1" outlineLevel="1" collapsed="1" x14ac:dyDescent="0.25">
      <c r="A43" s="149">
        <v>44774</v>
      </c>
      <c r="B43" s="135" t="s">
        <v>89</v>
      </c>
      <c r="C43" s="129">
        <v>1542800</v>
      </c>
    </row>
    <row r="44" spans="1:3" ht="12" customHeight="1" outlineLevel="1" x14ac:dyDescent="0.25">
      <c r="A44" s="149">
        <v>44166</v>
      </c>
      <c r="B44" s="136" t="s">
        <v>91</v>
      </c>
      <c r="C44" s="128">
        <v>17259.941599999998</v>
      </c>
    </row>
    <row r="45" spans="1:3" ht="12" customHeight="1" outlineLevel="1" x14ac:dyDescent="0.25">
      <c r="A45" s="149">
        <v>44166</v>
      </c>
      <c r="B45" s="136" t="s">
        <v>91</v>
      </c>
      <c r="C45" s="128">
        <v>17259.941599999998</v>
      </c>
    </row>
    <row r="46" spans="1:3" ht="12" customHeight="1" outlineLevel="1" x14ac:dyDescent="0.25">
      <c r="A46" s="149">
        <v>44166</v>
      </c>
      <c r="B46" s="136" t="s">
        <v>91</v>
      </c>
      <c r="C46" s="128">
        <v>17259.941599999998</v>
      </c>
    </row>
    <row r="47" spans="1:3" ht="12" customHeight="1" outlineLevel="1" x14ac:dyDescent="0.25">
      <c r="A47" s="149">
        <v>44166</v>
      </c>
      <c r="B47" s="136" t="s">
        <v>94</v>
      </c>
      <c r="C47" s="128">
        <v>6583.58</v>
      </c>
    </row>
    <row r="48" spans="1:3" ht="12" customHeight="1" outlineLevel="1" x14ac:dyDescent="0.25">
      <c r="A48" s="149">
        <v>44166</v>
      </c>
      <c r="B48" s="136" t="s">
        <v>96</v>
      </c>
      <c r="C48" s="128">
        <v>9152.4</v>
      </c>
    </row>
    <row r="49" spans="1:3" ht="12" customHeight="1" outlineLevel="1" x14ac:dyDescent="0.25">
      <c r="A49" s="149">
        <v>44166</v>
      </c>
      <c r="B49" s="136" t="s">
        <v>97</v>
      </c>
      <c r="C49" s="128">
        <v>10857.6</v>
      </c>
    </row>
    <row r="50" spans="1:3" ht="12" customHeight="1" outlineLevel="1" x14ac:dyDescent="0.25">
      <c r="A50" s="149">
        <v>44348</v>
      </c>
      <c r="B50" s="136" t="s">
        <v>98</v>
      </c>
      <c r="C50" s="128">
        <v>14653.328799999999</v>
      </c>
    </row>
    <row r="51" spans="1:3" ht="12" customHeight="1" outlineLevel="1" x14ac:dyDescent="0.25">
      <c r="A51" s="149">
        <v>44348</v>
      </c>
      <c r="B51" s="136" t="s">
        <v>99</v>
      </c>
      <c r="C51" s="128">
        <v>10398.6692</v>
      </c>
    </row>
    <row r="52" spans="1:3" ht="12" customHeight="1" outlineLevel="1" x14ac:dyDescent="0.25">
      <c r="A52" s="149">
        <v>44348</v>
      </c>
      <c r="B52" s="136" t="s">
        <v>100</v>
      </c>
      <c r="C52" s="128">
        <v>7579.996799999999</v>
      </c>
    </row>
    <row r="53" spans="1:3" ht="12" customHeight="1" outlineLevel="1" x14ac:dyDescent="0.25">
      <c r="A53" s="149">
        <v>44348</v>
      </c>
      <c r="B53" s="136" t="s">
        <v>101</v>
      </c>
      <c r="C53" s="128">
        <v>52989.96</v>
      </c>
    </row>
    <row r="54" spans="1:3" ht="12" customHeight="1" outlineLevel="1" x14ac:dyDescent="0.25">
      <c r="A54" s="149">
        <v>44348</v>
      </c>
      <c r="B54" s="136" t="s">
        <v>102</v>
      </c>
      <c r="C54" s="128">
        <v>50000</v>
      </c>
    </row>
    <row r="55" spans="1:3" ht="12" customHeight="1" outlineLevel="1" x14ac:dyDescent="0.25">
      <c r="A55" s="149">
        <v>44348</v>
      </c>
      <c r="B55" s="136" t="s">
        <v>103</v>
      </c>
      <c r="C55" s="128">
        <v>17632</v>
      </c>
    </row>
    <row r="56" spans="1:3" ht="12" customHeight="1" outlineLevel="1" x14ac:dyDescent="0.25">
      <c r="A56" s="149">
        <v>44348</v>
      </c>
      <c r="B56" s="136" t="s">
        <v>103</v>
      </c>
      <c r="C56" s="128">
        <v>17632</v>
      </c>
    </row>
    <row r="57" spans="1:3" ht="12" customHeight="1" outlineLevel="1" x14ac:dyDescent="0.25">
      <c r="A57" s="149">
        <v>44348</v>
      </c>
      <c r="B57" s="136" t="s">
        <v>104</v>
      </c>
      <c r="C57" s="128">
        <v>10946.803999999998</v>
      </c>
    </row>
    <row r="58" spans="1:3" ht="12" customHeight="1" outlineLevel="1" x14ac:dyDescent="0.25">
      <c r="A58" s="149">
        <v>44562</v>
      </c>
      <c r="B58" s="136" t="s">
        <v>105</v>
      </c>
      <c r="C58" s="128">
        <v>59160</v>
      </c>
    </row>
    <row r="59" spans="1:3" ht="12" customHeight="1" outlineLevel="1" x14ac:dyDescent="0.25">
      <c r="A59" s="149">
        <v>44562</v>
      </c>
      <c r="B59" s="136" t="s">
        <v>106</v>
      </c>
      <c r="C59" s="128">
        <v>10245</v>
      </c>
    </row>
    <row r="60" spans="1:3" ht="12" customHeight="1" outlineLevel="1" x14ac:dyDescent="0.25">
      <c r="A60" s="149">
        <v>44562</v>
      </c>
      <c r="B60" s="136" t="s">
        <v>106</v>
      </c>
      <c r="C60" s="128">
        <v>10245</v>
      </c>
    </row>
    <row r="61" spans="1:3" ht="12" customHeight="1" outlineLevel="1" x14ac:dyDescent="0.25">
      <c r="A61" s="149">
        <v>44593</v>
      </c>
      <c r="B61" s="136" t="s">
        <v>107</v>
      </c>
      <c r="C61" s="128">
        <v>49416</v>
      </c>
    </row>
    <row r="62" spans="1:3" ht="12" customHeight="1" outlineLevel="1" x14ac:dyDescent="0.25">
      <c r="A62" s="149">
        <v>44621</v>
      </c>
      <c r="B62" s="136" t="s">
        <v>108</v>
      </c>
      <c r="C62" s="128">
        <v>10857.6</v>
      </c>
    </row>
    <row r="63" spans="1:3" ht="12" customHeight="1" outlineLevel="1" x14ac:dyDescent="0.25">
      <c r="A63" s="149">
        <v>44621</v>
      </c>
      <c r="B63" s="136" t="s">
        <v>108</v>
      </c>
      <c r="C63" s="128">
        <v>10857.6</v>
      </c>
    </row>
    <row r="64" spans="1:3" ht="12" customHeight="1" outlineLevel="1" x14ac:dyDescent="0.25">
      <c r="A64" s="149">
        <v>44621</v>
      </c>
      <c r="B64" s="136" t="s">
        <v>108</v>
      </c>
      <c r="C64" s="128">
        <v>10857.6</v>
      </c>
    </row>
    <row r="65" spans="1:4" ht="12" customHeight="1" outlineLevel="1" x14ac:dyDescent="0.25">
      <c r="A65" s="149">
        <v>44713</v>
      </c>
      <c r="B65" s="135" t="s">
        <v>109</v>
      </c>
      <c r="C65" s="129">
        <v>8669319.3800000008</v>
      </c>
    </row>
    <row r="66" spans="1:4" ht="12" customHeight="1" outlineLevel="1" x14ac:dyDescent="0.25">
      <c r="A66" s="149">
        <v>44774</v>
      </c>
      <c r="B66" s="135" t="s">
        <v>110</v>
      </c>
      <c r="C66" s="129">
        <v>10988634</v>
      </c>
      <c r="D66" s="138"/>
    </row>
    <row r="67" spans="1:4" ht="12" customHeight="1" outlineLevel="1" x14ac:dyDescent="0.25">
      <c r="A67" s="147">
        <v>44593</v>
      </c>
      <c r="B67" s="135" t="s">
        <v>112</v>
      </c>
      <c r="C67" s="129">
        <v>485745.77</v>
      </c>
    </row>
    <row r="68" spans="1:4" ht="12" customHeight="1" outlineLevel="1" x14ac:dyDescent="0.25">
      <c r="A68" s="147">
        <v>44621</v>
      </c>
      <c r="B68" s="135" t="s">
        <v>113</v>
      </c>
      <c r="C68" s="129">
        <v>193267.54</v>
      </c>
    </row>
    <row r="69" spans="1:4" ht="12" customHeight="1" outlineLevel="1" x14ac:dyDescent="0.25">
      <c r="A69" s="147">
        <v>44621</v>
      </c>
      <c r="B69" s="135" t="s">
        <v>113</v>
      </c>
      <c r="C69" s="129">
        <v>32211.26</v>
      </c>
    </row>
    <row r="70" spans="1:4" ht="12" customHeight="1" outlineLevel="1" x14ac:dyDescent="0.25">
      <c r="A70" s="147">
        <v>44621</v>
      </c>
      <c r="B70" s="135" t="s">
        <v>114</v>
      </c>
      <c r="C70" s="129">
        <v>30922.81</v>
      </c>
    </row>
    <row r="71" spans="1:4" ht="12" customHeight="1" outlineLevel="1" x14ac:dyDescent="0.25">
      <c r="A71" s="147">
        <v>44621</v>
      </c>
      <c r="B71" s="135" t="s">
        <v>115</v>
      </c>
      <c r="C71" s="129">
        <v>68465.94</v>
      </c>
    </row>
    <row r="72" spans="1:4" ht="12" customHeight="1" outlineLevel="1" x14ac:dyDescent="0.25">
      <c r="A72" s="147">
        <v>45352</v>
      </c>
      <c r="B72" s="135" t="s">
        <v>116</v>
      </c>
      <c r="C72" s="129">
        <v>85929.03</v>
      </c>
    </row>
    <row r="73" spans="1:4" ht="12" customHeight="1" outlineLevel="1" x14ac:dyDescent="0.25">
      <c r="A73" s="147">
        <v>45352</v>
      </c>
      <c r="B73" s="135" t="s">
        <v>117</v>
      </c>
      <c r="C73" s="129">
        <v>144688.46</v>
      </c>
    </row>
    <row r="74" spans="1:4" ht="12" customHeight="1" outlineLevel="1" x14ac:dyDescent="0.25">
      <c r="A74" s="147">
        <v>45352</v>
      </c>
      <c r="B74" s="135" t="s">
        <v>118</v>
      </c>
      <c r="C74" s="129">
        <v>118697.7</v>
      </c>
    </row>
    <row r="75" spans="1:4" ht="12" customHeight="1" outlineLevel="1" x14ac:dyDescent="0.25">
      <c r="A75" s="147">
        <v>45352</v>
      </c>
      <c r="B75" s="135" t="s">
        <v>119</v>
      </c>
      <c r="C75" s="129">
        <v>27440.85</v>
      </c>
    </row>
    <row r="76" spans="1:4" ht="12" customHeight="1" outlineLevel="1" x14ac:dyDescent="0.25">
      <c r="A76" s="147">
        <v>45352</v>
      </c>
      <c r="B76" s="135" t="s">
        <v>119</v>
      </c>
      <c r="C76" s="129">
        <v>101243.77</v>
      </c>
    </row>
    <row r="77" spans="1:4" ht="12" customHeight="1" outlineLevel="1" x14ac:dyDescent="0.25">
      <c r="A77" s="147">
        <v>45352</v>
      </c>
      <c r="B77" s="135" t="s">
        <v>120</v>
      </c>
      <c r="C77" s="129">
        <v>4218.4799999999996</v>
      </c>
    </row>
    <row r="78" spans="1:4" ht="12" customHeight="1" outlineLevel="1" x14ac:dyDescent="0.25">
      <c r="A78" s="147">
        <v>45352</v>
      </c>
      <c r="B78" s="135" t="s">
        <v>121</v>
      </c>
      <c r="C78" s="129">
        <v>1143.3699999999999</v>
      </c>
    </row>
    <row r="79" spans="1:4" ht="12" customHeight="1" outlineLevel="1" x14ac:dyDescent="0.25">
      <c r="A79" s="147">
        <v>45352</v>
      </c>
      <c r="B79" s="135" t="s">
        <v>122</v>
      </c>
      <c r="C79" s="129">
        <v>1075485.8</v>
      </c>
    </row>
    <row r="80" spans="1:4" ht="12" customHeight="1" outlineLevel="1" x14ac:dyDescent="0.25">
      <c r="A80" s="147">
        <v>45352</v>
      </c>
      <c r="B80" s="135" t="s">
        <v>122</v>
      </c>
      <c r="C80" s="129">
        <v>499230.81</v>
      </c>
    </row>
    <row r="81" spans="1:3" ht="12" customHeight="1" outlineLevel="1" x14ac:dyDescent="0.25">
      <c r="A81" s="149">
        <v>43770</v>
      </c>
      <c r="B81" s="134" t="s">
        <v>126</v>
      </c>
      <c r="C81" s="128">
        <v>230260</v>
      </c>
    </row>
    <row r="82" spans="1:3" ht="12" customHeight="1" outlineLevel="1" x14ac:dyDescent="0.25">
      <c r="A82" s="149">
        <v>43435</v>
      </c>
      <c r="B82" s="134" t="s">
        <v>130</v>
      </c>
      <c r="C82" s="128">
        <v>4419.6000000000004</v>
      </c>
    </row>
    <row r="83" spans="1:3" ht="12" customHeight="1" outlineLevel="1" x14ac:dyDescent="0.25">
      <c r="A83" s="149">
        <v>43435</v>
      </c>
      <c r="B83" s="134" t="s">
        <v>131</v>
      </c>
      <c r="C83" s="128">
        <v>5486.8</v>
      </c>
    </row>
    <row r="84" spans="1:3" ht="12" customHeight="1" outlineLevel="1" x14ac:dyDescent="0.25">
      <c r="A84" s="149">
        <v>44044</v>
      </c>
      <c r="B84" s="136" t="s">
        <v>157</v>
      </c>
      <c r="C84" s="128">
        <v>10440</v>
      </c>
    </row>
    <row r="85" spans="1:3" ht="12" customHeight="1" outlineLevel="1" x14ac:dyDescent="0.25">
      <c r="A85" s="149">
        <v>44136</v>
      </c>
      <c r="B85" s="136" t="s">
        <v>135</v>
      </c>
      <c r="C85" s="128">
        <v>1952.28</v>
      </c>
    </row>
    <row r="86" spans="1:3" ht="12" customHeight="1" outlineLevel="1" x14ac:dyDescent="0.25">
      <c r="A86" s="149">
        <v>44136</v>
      </c>
      <c r="B86" s="136" t="s">
        <v>135</v>
      </c>
      <c r="C86" s="128">
        <v>1952.28</v>
      </c>
    </row>
    <row r="87" spans="1:3" ht="12" customHeight="1" outlineLevel="1" x14ac:dyDescent="0.25">
      <c r="A87" s="149">
        <v>44136</v>
      </c>
      <c r="B87" s="136" t="s">
        <v>136</v>
      </c>
      <c r="C87" s="128">
        <v>979.29519999999991</v>
      </c>
    </row>
    <row r="88" spans="1:3" ht="12" customHeight="1" outlineLevel="1" x14ac:dyDescent="0.25">
      <c r="A88" s="149">
        <v>44136</v>
      </c>
      <c r="B88" s="136" t="s">
        <v>136</v>
      </c>
      <c r="C88" s="128">
        <v>979.29519999999991</v>
      </c>
    </row>
    <row r="89" spans="1:3" ht="12" customHeight="1" outlineLevel="1" x14ac:dyDescent="0.25">
      <c r="A89" s="149">
        <v>44136</v>
      </c>
      <c r="B89" s="136" t="s">
        <v>136</v>
      </c>
      <c r="C89" s="128">
        <v>979.29519999999991</v>
      </c>
    </row>
    <row r="90" spans="1:3" ht="12" customHeight="1" outlineLevel="1" x14ac:dyDescent="0.25">
      <c r="A90" s="149">
        <v>44136</v>
      </c>
      <c r="B90" s="136" t="s">
        <v>136</v>
      </c>
      <c r="C90" s="128">
        <v>979.29519999999991</v>
      </c>
    </row>
    <row r="91" spans="1:3" ht="12" customHeight="1" outlineLevel="1" x14ac:dyDescent="0.25">
      <c r="A91" s="149">
        <v>44136</v>
      </c>
      <c r="B91" s="136" t="s">
        <v>136</v>
      </c>
      <c r="C91" s="128">
        <v>979.29519999999991</v>
      </c>
    </row>
    <row r="92" spans="1:3" ht="12" customHeight="1" outlineLevel="1" x14ac:dyDescent="0.25">
      <c r="A92" s="149">
        <v>44136</v>
      </c>
      <c r="B92" s="136" t="s">
        <v>136</v>
      </c>
      <c r="C92" s="128">
        <v>979.29519999999991</v>
      </c>
    </row>
    <row r="93" spans="1:3" ht="12" customHeight="1" outlineLevel="1" x14ac:dyDescent="0.25">
      <c r="A93" s="149">
        <v>44136</v>
      </c>
      <c r="B93" s="136" t="s">
        <v>136</v>
      </c>
      <c r="C93" s="128">
        <v>979.29519999999991</v>
      </c>
    </row>
    <row r="94" spans="1:3" ht="12" customHeight="1" outlineLevel="1" x14ac:dyDescent="0.25">
      <c r="A94" s="149">
        <v>44166</v>
      </c>
      <c r="B94" s="136" t="s">
        <v>137</v>
      </c>
      <c r="C94" s="128">
        <v>2362.92</v>
      </c>
    </row>
    <row r="95" spans="1:3" ht="12" customHeight="1" outlineLevel="1" x14ac:dyDescent="0.25">
      <c r="A95" s="149">
        <v>44166</v>
      </c>
      <c r="B95" s="136" t="s">
        <v>137</v>
      </c>
      <c r="C95" s="128">
        <v>2362.92</v>
      </c>
    </row>
    <row r="96" spans="1:3" ht="12" customHeight="1" outlineLevel="1" x14ac:dyDescent="0.25">
      <c r="A96" s="149">
        <v>44166</v>
      </c>
      <c r="B96" s="136" t="s">
        <v>137</v>
      </c>
      <c r="C96" s="128">
        <v>2362.92</v>
      </c>
    </row>
    <row r="97" spans="1:3" ht="12" customHeight="1" outlineLevel="1" x14ac:dyDescent="0.25">
      <c r="A97" s="149">
        <v>44166</v>
      </c>
      <c r="B97" s="136" t="s">
        <v>137</v>
      </c>
      <c r="C97" s="128">
        <v>2362.92</v>
      </c>
    </row>
    <row r="98" spans="1:3" ht="12" customHeight="1" outlineLevel="1" x14ac:dyDescent="0.25">
      <c r="A98" s="149">
        <v>44166</v>
      </c>
      <c r="B98" s="136" t="s">
        <v>137</v>
      </c>
      <c r="C98" s="128">
        <v>2362.92</v>
      </c>
    </row>
    <row r="99" spans="1:3" ht="12" customHeight="1" outlineLevel="1" x14ac:dyDescent="0.25">
      <c r="A99" s="149">
        <v>44166</v>
      </c>
      <c r="B99" s="136" t="s">
        <v>137</v>
      </c>
      <c r="C99" s="128">
        <v>2362.92</v>
      </c>
    </row>
    <row r="100" spans="1:3" ht="12" customHeight="1" outlineLevel="1" x14ac:dyDescent="0.25">
      <c r="A100" s="149">
        <v>44166</v>
      </c>
      <c r="B100" s="136" t="s">
        <v>137</v>
      </c>
      <c r="C100" s="128">
        <v>2362.92</v>
      </c>
    </row>
    <row r="101" spans="1:3" ht="12" customHeight="1" outlineLevel="1" x14ac:dyDescent="0.25">
      <c r="A101" s="149">
        <v>44166</v>
      </c>
      <c r="B101" s="136" t="s">
        <v>137</v>
      </c>
      <c r="C101" s="128">
        <v>2362.92</v>
      </c>
    </row>
    <row r="102" spans="1:3" ht="12" customHeight="1" outlineLevel="1" x14ac:dyDescent="0.25">
      <c r="A102" s="149">
        <v>44166</v>
      </c>
      <c r="B102" s="136" t="s">
        <v>138</v>
      </c>
      <c r="C102" s="128">
        <v>2969.6</v>
      </c>
    </row>
    <row r="103" spans="1:3" ht="12" customHeight="1" outlineLevel="1" x14ac:dyDescent="0.25">
      <c r="A103" s="149">
        <v>44166</v>
      </c>
      <c r="B103" s="136" t="s">
        <v>139</v>
      </c>
      <c r="C103" s="128">
        <v>1654588.88</v>
      </c>
    </row>
    <row r="104" spans="1:3" ht="12" customHeight="1" x14ac:dyDescent="0.25">
      <c r="A104" s="147">
        <v>44713</v>
      </c>
      <c r="B104" s="135" t="s">
        <v>144</v>
      </c>
      <c r="C104" s="129">
        <v>6380</v>
      </c>
    </row>
    <row r="105" spans="1:3" ht="12" customHeight="1" x14ac:dyDescent="0.25">
      <c r="A105" s="147">
        <v>44713</v>
      </c>
      <c r="B105" s="135" t="s">
        <v>144</v>
      </c>
      <c r="C105" s="129">
        <v>6380</v>
      </c>
    </row>
    <row r="106" spans="1:3" ht="12" customHeight="1" x14ac:dyDescent="0.25">
      <c r="A106" s="147">
        <v>44835</v>
      </c>
      <c r="B106" s="135" t="s">
        <v>145</v>
      </c>
      <c r="C106" s="129">
        <v>13920</v>
      </c>
    </row>
    <row r="107" spans="1:3" ht="12" customHeight="1" outlineLevel="1" x14ac:dyDescent="0.25">
      <c r="A107" s="147">
        <v>45870</v>
      </c>
      <c r="B107" s="136" t="s">
        <v>141</v>
      </c>
      <c r="C107" s="128">
        <v>7380</v>
      </c>
    </row>
    <row r="108" spans="1:3" ht="12" customHeight="1" x14ac:dyDescent="0.25">
      <c r="A108" s="147">
        <v>46017</v>
      </c>
      <c r="B108" s="135" t="s">
        <v>160</v>
      </c>
      <c r="C108" s="129">
        <v>442900</v>
      </c>
    </row>
    <row r="109" spans="1:3" ht="12" customHeight="1" x14ac:dyDescent="0.25">
      <c r="A109" s="150"/>
      <c r="B109" s="145" t="s">
        <v>155</v>
      </c>
      <c r="C109" s="151">
        <f>SUM(C6:C108)</f>
        <v>27202233.212000035</v>
      </c>
    </row>
    <row r="110" spans="1:3" ht="12" customHeight="1" x14ac:dyDescent="0.25">
      <c r="B110" s="130"/>
      <c r="C110" s="127"/>
    </row>
    <row r="111" spans="1:3" ht="12" customHeight="1" x14ac:dyDescent="0.25">
      <c r="B111" s="130"/>
      <c r="C111" s="127"/>
    </row>
    <row r="112" spans="1:3" ht="12" customHeight="1" x14ac:dyDescent="0.25">
      <c r="B112" s="139"/>
      <c r="C112" s="140"/>
    </row>
    <row r="113" spans="2:3" ht="12" customHeight="1" x14ac:dyDescent="0.25">
      <c r="B113" s="139"/>
      <c r="C113" s="140"/>
    </row>
    <row r="114" spans="2:3" ht="12" customHeight="1" x14ac:dyDescent="0.25">
      <c r="B114" s="139"/>
      <c r="C114" s="140"/>
    </row>
    <row r="115" spans="2:3" ht="12" customHeight="1" x14ac:dyDescent="0.25">
      <c r="C115" s="141"/>
    </row>
    <row r="117" spans="2:3" ht="12" customHeight="1" x14ac:dyDescent="0.25">
      <c r="C117" s="138"/>
    </row>
    <row r="118" spans="2:3" ht="12" customHeight="1" x14ac:dyDescent="0.25">
      <c r="C118" s="138"/>
    </row>
    <row r="119" spans="2:3" ht="12" customHeight="1" x14ac:dyDescent="0.25">
      <c r="C119" s="138"/>
    </row>
    <row r="138" spans="3:3" ht="12" customHeight="1" x14ac:dyDescent="0.25">
      <c r="C138" s="142"/>
    </row>
  </sheetData>
  <sortState xmlns:xlrd2="http://schemas.microsoft.com/office/spreadsheetml/2017/richdata2" ref="A6:AJ106">
    <sortCondition ref="A6:A107"/>
  </sortState>
  <mergeCells count="2">
    <mergeCell ref="A2:C2"/>
    <mergeCell ref="A3:C3"/>
  </mergeCells>
  <printOptions horizontalCentered="1"/>
  <pageMargins left="0.25" right="0.25" top="0.39" bottom="0.41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DEPRECIACIONES ANUALES CALCULO </vt:lpstr>
      <vt:lpstr>INVENTARIO FISICO</vt:lpstr>
      <vt:lpstr>'DEPRECIACIONES ANUALES CALCULO '!Área_de_impresión</vt:lpstr>
      <vt:lpstr>'INVENTARIO FISICO'!Área_de_impresión</vt:lpstr>
      <vt:lpstr>'DEPRECIACIONES ANUALES CALCULO '!Títulos_a_imprimir</vt:lpstr>
      <vt:lpstr>'INVENTARIO FISICO'!Títulos_a_imprimir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Patronato 1</dc:creator>
  <cp:lastModifiedBy>usuario-m365-6 .</cp:lastModifiedBy>
  <cp:lastPrinted>2026-03-20T18:54:18Z</cp:lastPrinted>
  <dcterms:created xsi:type="dcterms:W3CDTF">2026-03-20T18:05:04Z</dcterms:created>
  <dcterms:modified xsi:type="dcterms:W3CDTF">2026-07-07T23:52:41Z</dcterms:modified>
</cp:coreProperties>
</file>